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70" yWindow="65521" windowWidth="2985" windowHeight="6615" activeTab="0"/>
  </bookViews>
  <sheets>
    <sheet name="個人事業税業態別" sheetId="1" r:id="rId1"/>
  </sheets>
  <definedNames>
    <definedName name="_xlnm.Print_Area" localSheetId="0">'個人事業税業態別'!$A$1:$L$91</definedName>
    <definedName name="_xlnm.Print_Area">'個人事業税業態別'!$L$1:$L$46</definedName>
    <definedName name="PRINT_AREA_MI">'個人事業税業態別'!$A$45:$A$90</definedName>
  </definedNames>
  <calcPr fullCalcOnLoad="1"/>
</workbook>
</file>

<file path=xl/sharedStrings.xml><?xml version="1.0" encoding="utf-8"?>
<sst xmlns="http://schemas.openxmlformats.org/spreadsheetml/2006/main" count="127" uniqueCount="88">
  <si>
    <t xml:space="preserve">      平 成 ７ 年 度</t>
  </si>
  <si>
    <t xml:space="preserve">      平 成 ８ 年 度</t>
  </si>
  <si>
    <t xml:space="preserve">      平 成 ９ 年 度</t>
  </si>
  <si>
    <t>区        分</t>
  </si>
  <si>
    <t>人  員</t>
  </si>
  <si>
    <t>所 得 金 額</t>
  </si>
  <si>
    <t>人</t>
  </si>
  <si>
    <t>千円</t>
  </si>
  <si>
    <t xml:space="preserve"> 第１種事業</t>
  </si>
  <si>
    <t xml:space="preserve"> 第２種事業</t>
  </si>
  <si>
    <t>物  品  販  売  業</t>
  </si>
  <si>
    <t>畜      産      業</t>
  </si>
  <si>
    <t>金  銭  貸  付  業</t>
  </si>
  <si>
    <t>水      産      業</t>
  </si>
  <si>
    <t>不 動 産 販 売  業</t>
  </si>
  <si>
    <t>薪  炭  製  造  業</t>
  </si>
  <si>
    <t>周      旋      業</t>
  </si>
  <si>
    <t>不 動 産 貸 付  業</t>
  </si>
  <si>
    <t>小          計</t>
  </si>
  <si>
    <t>製      造      業</t>
  </si>
  <si>
    <t>運      送      業</t>
  </si>
  <si>
    <t xml:space="preserve"> 第３種事業</t>
  </si>
  <si>
    <t>運  送  取  扱  業</t>
  </si>
  <si>
    <t>医              業</t>
  </si>
  <si>
    <t>船舶ていけい場  業</t>
  </si>
  <si>
    <t>歯   科   医    業</t>
  </si>
  <si>
    <t>倉      庫      業</t>
  </si>
  <si>
    <t>薬   剤   師    業</t>
  </si>
  <si>
    <t>駐   車   場    業</t>
  </si>
  <si>
    <t>獣      医      業</t>
  </si>
  <si>
    <t>請      負      業</t>
  </si>
  <si>
    <t>歯 科 衛 生 士  業</t>
  </si>
  <si>
    <t>印      刷      業</t>
  </si>
  <si>
    <t>歯 科 技 工 士  業</t>
  </si>
  <si>
    <t>出      版      業</t>
  </si>
  <si>
    <t>弁   護   士    業</t>
  </si>
  <si>
    <t>席      貸      業</t>
  </si>
  <si>
    <t>司  法  書  士  業</t>
  </si>
  <si>
    <t>旅      館      業</t>
  </si>
  <si>
    <t>行  政  書  士  業</t>
  </si>
  <si>
    <t>料   理   店    業</t>
  </si>
  <si>
    <t>公   証   人    業</t>
  </si>
  <si>
    <t>飲   食   店    業</t>
  </si>
  <si>
    <t>弁   理   士    業</t>
  </si>
  <si>
    <t>演  劇  興  行  業</t>
  </si>
  <si>
    <t>税   理   士    業</t>
  </si>
  <si>
    <t>遊   技   場    業</t>
  </si>
  <si>
    <t>公 認 会 計 士  業</t>
  </si>
  <si>
    <t>物  品  貸  付  業</t>
  </si>
  <si>
    <t>計   理   士    業</t>
  </si>
  <si>
    <t>電  気  供  給  業</t>
  </si>
  <si>
    <t>コンサルタント  業</t>
  </si>
  <si>
    <t>土  石  採  取  業</t>
  </si>
  <si>
    <t>土地家屋調査士  業</t>
  </si>
  <si>
    <t>電 気 通 信 事  業</t>
  </si>
  <si>
    <t>海 事 代 理 士  業</t>
  </si>
  <si>
    <t>写      真      業</t>
  </si>
  <si>
    <t>公  衆  浴  場  業</t>
  </si>
  <si>
    <t>代      理      業</t>
  </si>
  <si>
    <t>美      容      業</t>
  </si>
  <si>
    <t>仲      立      業</t>
  </si>
  <si>
    <t>理      容      業</t>
  </si>
  <si>
    <t>問      屋      業</t>
  </si>
  <si>
    <t>クリーニング    業</t>
  </si>
  <si>
    <t>両      替      業</t>
  </si>
  <si>
    <t>測   量   士    業</t>
  </si>
  <si>
    <t>設 計 監 督 者  業</t>
  </si>
  <si>
    <t>遊   覧   所    業</t>
  </si>
  <si>
    <t>不 動 産 鑑 定  業</t>
  </si>
  <si>
    <t>商  品  取  引  業</t>
  </si>
  <si>
    <t>デ  ザ  イ  ン  業</t>
  </si>
  <si>
    <t>広      告      業</t>
  </si>
  <si>
    <t>諸  芸  師  匠  業</t>
  </si>
  <si>
    <t>興   信   所    業</t>
  </si>
  <si>
    <t>印  刷  製  版  業</t>
  </si>
  <si>
    <t>案      内      業</t>
  </si>
  <si>
    <t>助   産   婦    業</t>
  </si>
  <si>
    <t>冠  婚  葬  祭  業</t>
  </si>
  <si>
    <t>あんま、マッサージ 又は</t>
  </si>
  <si>
    <t>指圧、はり、きゅう、柔道整復</t>
  </si>
  <si>
    <t>その他の医業に類する事業</t>
  </si>
  <si>
    <t>　（注）本表の数値は８月３１日現在における現年課税分の数値である。</t>
  </si>
  <si>
    <t>装   蹄   師    業</t>
  </si>
  <si>
    <t>社会保険労務士  業</t>
  </si>
  <si>
    <t>合          計</t>
  </si>
  <si>
    <t xml:space="preserve">      平 成 10 年 度</t>
  </si>
  <si>
    <t xml:space="preserve">      平 成 11 年 度</t>
  </si>
  <si>
    <t>７　　個人事業税 業態別所得金額調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</si>
</sst>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\-#,##0;&quot;-&quot;"/>
  </numFmts>
  <fonts count="20">
    <font>
      <sz val="12"/>
      <name val="ＭＳ 明朝"/>
      <family val="1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0"/>
    </font>
    <font>
      <sz val="12"/>
      <color indexed="8"/>
      <name val="ＭＳ 明朝"/>
      <family val="1"/>
    </font>
    <font>
      <sz val="12"/>
      <color indexed="12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8"/>
      <color indexed="8"/>
      <name val="ＭＳ ゴシック"/>
      <family val="3"/>
    </font>
    <font>
      <sz val="18"/>
      <color indexed="8"/>
      <name val="ＭＳ 明朝"/>
      <family val="1"/>
    </font>
    <font>
      <sz val="18"/>
      <name val="ＭＳ 明朝"/>
      <family val="1"/>
    </font>
    <font>
      <sz val="12"/>
      <color indexed="4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3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8" fillId="0" borderId="0" applyFill="0" applyBorder="0" applyAlignment="0">
      <protection/>
    </xf>
    <xf numFmtId="0" fontId="10" fillId="0" borderId="0">
      <alignment horizontal="left"/>
      <protection/>
    </xf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0" fontId="9" fillId="0" borderId="0">
      <alignment/>
      <protection/>
    </xf>
    <xf numFmtId="4" fontId="10" fillId="0" borderId="0">
      <alignment horizontal="right"/>
      <protection/>
    </xf>
    <xf numFmtId="4" fontId="12" fillId="0" borderId="0">
      <alignment horizontal="right"/>
      <protection/>
    </xf>
    <xf numFmtId="0" fontId="13" fillId="0" borderId="0">
      <alignment horizontal="left"/>
      <protection/>
    </xf>
    <xf numFmtId="0" fontId="14" fillId="0" borderId="0">
      <alignment horizontal="center"/>
      <protection/>
    </xf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5" fillId="0" borderId="0">
      <alignment/>
      <protection/>
    </xf>
  </cellStyleXfs>
  <cellXfs count="52">
    <xf numFmtId="37" fontId="0" fillId="0" borderId="0" xfId="0" applyAlignment="1">
      <alignment/>
    </xf>
    <xf numFmtId="37" fontId="5" fillId="0" borderId="0" xfId="0" applyNumberFormat="1" applyFont="1" applyBorder="1" applyAlignment="1" applyProtection="1">
      <alignment horizontal="left"/>
      <protection/>
    </xf>
    <xf numFmtId="37" fontId="5" fillId="0" borderId="0" xfId="0" applyNumberFormat="1" applyFont="1" applyBorder="1" applyAlignment="1" applyProtection="1">
      <alignment/>
      <protection/>
    </xf>
    <xf numFmtId="37" fontId="5" fillId="0" borderId="3" xfId="0" applyNumberFormat="1" applyFont="1" applyBorder="1" applyAlignment="1" applyProtection="1">
      <alignment/>
      <protection/>
    </xf>
    <xf numFmtId="37" fontId="5" fillId="0" borderId="4" xfId="0" applyNumberFormat="1" applyFont="1" applyBorder="1" applyAlignment="1" applyProtection="1">
      <alignment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6" xfId="0" applyNumberFormat="1" applyFont="1" applyBorder="1" applyAlignment="1" applyProtection="1">
      <alignment/>
      <protection/>
    </xf>
    <xf numFmtId="37" fontId="5" fillId="0" borderId="7" xfId="0" applyNumberFormat="1" applyFont="1" applyBorder="1" applyAlignment="1" applyProtection="1">
      <alignment/>
      <protection/>
    </xf>
    <xf numFmtId="37" fontId="5" fillId="0" borderId="8" xfId="0" applyNumberFormat="1" applyFont="1" applyBorder="1" applyAlignment="1" applyProtection="1">
      <alignment horizontal="center"/>
      <protection/>
    </xf>
    <xf numFmtId="37" fontId="5" fillId="0" borderId="9" xfId="0" applyNumberFormat="1" applyFont="1" applyBorder="1" applyAlignment="1" applyProtection="1">
      <alignment horizontal="center"/>
      <protection/>
    </xf>
    <xf numFmtId="37" fontId="5" fillId="0" borderId="10" xfId="0" applyNumberFormat="1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 horizontal="right"/>
      <protection/>
    </xf>
    <xf numFmtId="37" fontId="5" fillId="0" borderId="11" xfId="0" applyNumberFormat="1" applyFont="1" applyBorder="1" applyAlignment="1" applyProtection="1">
      <alignment horizontal="right"/>
      <protection/>
    </xf>
    <xf numFmtId="37" fontId="5" fillId="0" borderId="10" xfId="0" applyNumberFormat="1" applyFont="1" applyBorder="1" applyAlignment="1" applyProtection="1">
      <alignment horizontal="left"/>
      <protection/>
    </xf>
    <xf numFmtId="37" fontId="5" fillId="0" borderId="11" xfId="0" applyNumberFormat="1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6" fillId="0" borderId="10" xfId="0" applyNumberFormat="1" applyFont="1" applyBorder="1" applyAlignment="1" applyProtection="1">
      <alignment/>
      <protection locked="0"/>
    </xf>
    <xf numFmtId="37" fontId="6" fillId="0" borderId="11" xfId="0" applyNumberFormat="1" applyFont="1" applyBorder="1" applyAlignment="1" applyProtection="1">
      <alignment/>
      <protection locked="0"/>
    </xf>
    <xf numFmtId="37" fontId="5" fillId="0" borderId="8" xfId="0" applyNumberFormat="1" applyFont="1" applyBorder="1" applyAlignment="1" applyProtection="1">
      <alignment/>
      <protection/>
    </xf>
    <xf numFmtId="37" fontId="5" fillId="0" borderId="9" xfId="0" applyNumberFormat="1" applyFont="1" applyBorder="1" applyAlignment="1" applyProtection="1">
      <alignment/>
      <protection/>
    </xf>
    <xf numFmtId="37" fontId="6" fillId="0" borderId="8" xfId="0" applyNumberFormat="1" applyFont="1" applyBorder="1" applyAlignment="1" applyProtection="1">
      <alignment/>
      <protection locked="0"/>
    </xf>
    <xf numFmtId="37" fontId="6" fillId="0" borderId="9" xfId="0" applyNumberFormat="1" applyFont="1" applyBorder="1" applyAlignment="1" applyProtection="1">
      <alignment/>
      <protection locked="0"/>
    </xf>
    <xf numFmtId="37" fontId="5" fillId="0" borderId="0" xfId="0" applyNumberFormat="1" applyFont="1" applyBorder="1" applyAlignment="1" applyProtection="1">
      <alignment/>
      <protection/>
    </xf>
    <xf numFmtId="37" fontId="5" fillId="0" borderId="0" xfId="0" applyFont="1" applyBorder="1" applyAlignment="1">
      <alignment/>
    </xf>
    <xf numFmtId="176" fontId="5" fillId="0" borderId="11" xfId="0" applyNumberFormat="1" applyFont="1" applyBorder="1" applyAlignment="1" applyProtection="1">
      <alignment horizontal="right"/>
      <protection/>
    </xf>
    <xf numFmtId="176" fontId="5" fillId="0" borderId="11" xfId="0" applyNumberFormat="1" applyFont="1" applyBorder="1" applyAlignment="1" applyProtection="1">
      <alignment/>
      <protection/>
    </xf>
    <xf numFmtId="176" fontId="6" fillId="0" borderId="11" xfId="0" applyNumberFormat="1" applyFont="1" applyBorder="1" applyAlignment="1" applyProtection="1">
      <alignment/>
      <protection locked="0"/>
    </xf>
    <xf numFmtId="176" fontId="6" fillId="0" borderId="9" xfId="0" applyNumberFormat="1" applyFont="1" applyBorder="1" applyAlignment="1" applyProtection="1">
      <alignment/>
      <protection locked="0"/>
    </xf>
    <xf numFmtId="176" fontId="5" fillId="0" borderId="9" xfId="0" applyNumberFormat="1" applyFont="1" applyBorder="1" applyAlignment="1" applyProtection="1">
      <alignment/>
      <protection/>
    </xf>
    <xf numFmtId="176" fontId="5" fillId="0" borderId="0" xfId="0" applyNumberFormat="1" applyFont="1" applyBorder="1" applyAlignment="1" applyProtection="1">
      <alignment/>
      <protection/>
    </xf>
    <xf numFmtId="176" fontId="5" fillId="0" borderId="0" xfId="0" applyNumberFormat="1" applyFont="1" applyBorder="1" applyAlignment="1">
      <alignment/>
    </xf>
    <xf numFmtId="176" fontId="0" fillId="0" borderId="0" xfId="0" applyNumberFormat="1" applyAlignment="1">
      <alignment/>
    </xf>
    <xf numFmtId="176" fontId="5" fillId="0" borderId="10" xfId="0" applyNumberFormat="1" applyFont="1" applyBorder="1" applyAlignment="1" applyProtection="1">
      <alignment/>
      <protection/>
    </xf>
    <xf numFmtId="176" fontId="6" fillId="0" borderId="10" xfId="0" applyNumberFormat="1" applyFont="1" applyBorder="1" applyAlignment="1" applyProtection="1">
      <alignment/>
      <protection locked="0"/>
    </xf>
    <xf numFmtId="176" fontId="5" fillId="0" borderId="10" xfId="0" applyNumberFormat="1" applyFont="1" applyBorder="1" applyAlignment="1" applyProtection="1">
      <alignment horizontal="center"/>
      <protection/>
    </xf>
    <xf numFmtId="176" fontId="5" fillId="0" borderId="8" xfId="0" applyNumberFormat="1" applyFont="1" applyBorder="1" applyAlignment="1" applyProtection="1">
      <alignment horizontal="center"/>
      <protection/>
    </xf>
    <xf numFmtId="176" fontId="5" fillId="0" borderId="8" xfId="0" applyNumberFormat="1" applyFont="1" applyBorder="1" applyAlignment="1" applyProtection="1">
      <alignment/>
      <protection/>
    </xf>
    <xf numFmtId="176" fontId="6" fillId="0" borderId="8" xfId="0" applyNumberFormat="1" applyFont="1" applyBorder="1" applyAlignment="1" applyProtection="1">
      <alignment/>
      <protection locked="0"/>
    </xf>
    <xf numFmtId="176" fontId="5" fillId="0" borderId="10" xfId="0" applyNumberFormat="1" applyFont="1" applyBorder="1" applyAlignment="1" applyProtection="1">
      <alignment horizontal="left"/>
      <protection/>
    </xf>
    <xf numFmtId="176" fontId="6" fillId="0" borderId="10" xfId="0" applyNumberFormat="1" applyFont="1" applyFill="1" applyBorder="1" applyAlignment="1" applyProtection="1">
      <alignment/>
      <protection/>
    </xf>
    <xf numFmtId="37" fontId="16" fillId="0" borderId="0" xfId="0" applyNumberFormat="1" applyFont="1" applyBorder="1" applyAlignment="1" applyProtection="1">
      <alignment horizontal="centerContinuous"/>
      <protection/>
    </xf>
    <xf numFmtId="37" fontId="17" fillId="0" borderId="0" xfId="0" applyNumberFormat="1" applyFont="1" applyBorder="1" applyAlignment="1" applyProtection="1">
      <alignment/>
      <protection/>
    </xf>
    <xf numFmtId="176" fontId="17" fillId="0" borderId="0" xfId="0" applyNumberFormat="1" applyFont="1" applyBorder="1" applyAlignment="1" applyProtection="1">
      <alignment/>
      <protection/>
    </xf>
    <xf numFmtId="37" fontId="18" fillId="0" borderId="0" xfId="0" applyFont="1" applyAlignment="1">
      <alignment/>
    </xf>
    <xf numFmtId="176" fontId="5" fillId="0" borderId="0" xfId="0" applyNumberFormat="1" applyFont="1" applyBorder="1" applyAlignment="1" applyProtection="1">
      <alignment/>
      <protection/>
    </xf>
    <xf numFmtId="37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176" fontId="19" fillId="0" borderId="10" xfId="0" applyNumberFormat="1" applyFont="1" applyBorder="1" applyAlignment="1" applyProtection="1">
      <alignment/>
      <protection locked="0"/>
    </xf>
    <xf numFmtId="176" fontId="19" fillId="0" borderId="8" xfId="0" applyNumberFormat="1" applyFont="1" applyBorder="1" applyAlignment="1" applyProtection="1">
      <alignment/>
      <protection locked="0"/>
    </xf>
    <xf numFmtId="176" fontId="19" fillId="0" borderId="10" xfId="0" applyNumberFormat="1" applyFont="1" applyBorder="1" applyAlignment="1" applyProtection="1">
      <alignment/>
      <protection/>
    </xf>
    <xf numFmtId="37" fontId="19" fillId="0" borderId="10" xfId="0" applyNumberFormat="1" applyFont="1" applyBorder="1" applyAlignment="1" applyProtection="1">
      <alignment/>
      <protection locked="0"/>
    </xf>
    <xf numFmtId="37" fontId="19" fillId="0" borderId="8" xfId="0" applyNumberFormat="1" applyFont="1" applyBorder="1" applyAlignment="1" applyProtection="1">
      <alignment/>
      <protection locked="0"/>
    </xf>
  </cellXfs>
  <cellStyles count="16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Comma [0]" xfId="25"/>
    <cellStyle name="Comma" xfId="26"/>
    <cellStyle name="Currency [0]" xfId="27"/>
    <cellStyle name="Currency" xfId="28"/>
    <cellStyle name="未定義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101"/>
  <sheetViews>
    <sheetView showGridLines="0" tabSelected="1" defaultGridColor="0" colorId="22" workbookViewId="0" topLeftCell="A1">
      <selection activeCell="A1" sqref="A1"/>
    </sheetView>
  </sheetViews>
  <sheetFormatPr defaultColWidth="10.59765625" defaultRowHeight="15"/>
  <cols>
    <col min="1" max="1" width="28.59765625" style="0" customWidth="1"/>
    <col min="3" max="3" width="16.59765625" style="0" customWidth="1"/>
    <col min="5" max="5" width="16.59765625" style="0" customWidth="1"/>
    <col min="6" max="6" width="12.59765625" style="0" customWidth="1"/>
    <col min="7" max="7" width="15.59765625" style="0" customWidth="1"/>
    <col min="8" max="8" width="12.59765625" style="0" customWidth="1"/>
    <col min="9" max="11" width="15.59765625" style="0" customWidth="1"/>
    <col min="12" max="12" width="28.59765625" style="0" customWidth="1"/>
    <col min="14" max="14" width="16.59765625" style="0" customWidth="1"/>
    <col min="16" max="16" width="16.59765625" style="0" customWidth="1"/>
    <col min="18" max="18" width="16.59765625" style="31" customWidth="1"/>
    <col min="19" max="19" width="10.69921875" style="0" customWidth="1"/>
    <col min="20" max="20" width="16.3984375" style="0" customWidth="1"/>
    <col min="22" max="22" width="14.59765625" style="0" customWidth="1"/>
  </cols>
  <sheetData>
    <row r="1" spans="1:19" s="43" customFormat="1" ht="21">
      <c r="A1" s="40" t="s">
        <v>87</v>
      </c>
      <c r="B1" s="40"/>
      <c r="C1" s="40"/>
      <c r="D1" s="40"/>
      <c r="E1" s="40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2"/>
      <c r="S1" s="41"/>
    </row>
    <row r="2" spans="1:11" ht="29.25" customHeight="1">
      <c r="A2" s="1"/>
      <c r="B2" s="3"/>
      <c r="C2" s="3"/>
      <c r="D2" s="3"/>
      <c r="E2" s="3"/>
      <c r="F2" s="3"/>
      <c r="G2" s="3"/>
      <c r="H2" s="2"/>
      <c r="I2" s="2"/>
      <c r="J2" s="2"/>
      <c r="K2" s="2"/>
    </row>
    <row r="3" spans="1:11" ht="25.5" customHeight="1">
      <c r="A3" s="4"/>
      <c r="B3" s="5" t="s">
        <v>0</v>
      </c>
      <c r="C3" s="6"/>
      <c r="D3" s="5" t="s">
        <v>1</v>
      </c>
      <c r="E3" s="7"/>
      <c r="F3" s="5" t="s">
        <v>2</v>
      </c>
      <c r="G3" s="7"/>
      <c r="H3" s="5" t="s">
        <v>85</v>
      </c>
      <c r="I3" s="7"/>
      <c r="J3" s="5" t="s">
        <v>86</v>
      </c>
      <c r="K3" s="7"/>
    </row>
    <row r="4" spans="1:11" ht="14.25">
      <c r="A4" s="8" t="s">
        <v>3</v>
      </c>
      <c r="B4" s="8" t="s">
        <v>4</v>
      </c>
      <c r="C4" s="8" t="s">
        <v>5</v>
      </c>
      <c r="D4" s="8" t="s">
        <v>4</v>
      </c>
      <c r="E4" s="9" t="s">
        <v>5</v>
      </c>
      <c r="F4" s="8" t="s">
        <v>4</v>
      </c>
      <c r="G4" s="9" t="s">
        <v>5</v>
      </c>
      <c r="H4" s="8" t="s">
        <v>4</v>
      </c>
      <c r="I4" s="9" t="s">
        <v>5</v>
      </c>
      <c r="J4" s="8" t="s">
        <v>4</v>
      </c>
      <c r="K4" s="9" t="s">
        <v>5</v>
      </c>
    </row>
    <row r="5" spans="1:11" ht="14.25">
      <c r="A5" s="10"/>
      <c r="B5" s="11" t="s">
        <v>6</v>
      </c>
      <c r="C5" s="11" t="s">
        <v>7</v>
      </c>
      <c r="D5" s="11" t="s">
        <v>6</v>
      </c>
      <c r="E5" s="12" t="s">
        <v>7</v>
      </c>
      <c r="F5" s="11" t="s">
        <v>6</v>
      </c>
      <c r="G5" s="12" t="s">
        <v>7</v>
      </c>
      <c r="H5" s="11" t="s">
        <v>6</v>
      </c>
      <c r="I5" s="12" t="s">
        <v>7</v>
      </c>
      <c r="J5" s="11" t="s">
        <v>6</v>
      </c>
      <c r="K5" s="12" t="s">
        <v>7</v>
      </c>
    </row>
    <row r="6" spans="1:11" ht="14.25">
      <c r="A6" s="13" t="s">
        <v>8</v>
      </c>
      <c r="B6" s="10"/>
      <c r="C6" s="10"/>
      <c r="D6" s="10"/>
      <c r="E6" s="14"/>
      <c r="F6" s="10"/>
      <c r="G6" s="14"/>
      <c r="H6" s="10"/>
      <c r="I6" s="14"/>
      <c r="J6" s="10"/>
      <c r="K6" s="14"/>
    </row>
    <row r="7" spans="1:11" ht="14.25">
      <c r="A7" s="15" t="s">
        <v>10</v>
      </c>
      <c r="B7" s="33">
        <v>9039</v>
      </c>
      <c r="C7" s="33">
        <v>43447400</v>
      </c>
      <c r="D7" s="33">
        <v>8495</v>
      </c>
      <c r="E7" s="26">
        <f>39054472+35496+1266241+9584</f>
        <v>40365793</v>
      </c>
      <c r="F7" s="33">
        <v>8477</v>
      </c>
      <c r="G7" s="26">
        <v>40748581</v>
      </c>
      <c r="H7" s="33">
        <f>7397+303</f>
        <v>7700</v>
      </c>
      <c r="I7" s="26">
        <f>36263944+1338378</f>
        <v>37602322</v>
      </c>
      <c r="J7" s="33">
        <f>365+6344</f>
        <v>6709</v>
      </c>
      <c r="K7" s="26">
        <f>1339163+31772734</f>
        <v>33111897</v>
      </c>
    </row>
    <row r="8" spans="1:11" ht="14.25">
      <c r="A8" s="15" t="s">
        <v>12</v>
      </c>
      <c r="B8" s="33">
        <v>249</v>
      </c>
      <c r="C8" s="33">
        <v>1912291</v>
      </c>
      <c r="D8" s="33">
        <f>230+6</f>
        <v>236</v>
      </c>
      <c r="E8" s="26">
        <f>1289323+94813</f>
        <v>1384136</v>
      </c>
      <c r="F8" s="33">
        <v>246</v>
      </c>
      <c r="G8" s="26">
        <v>1524646</v>
      </c>
      <c r="H8" s="33">
        <v>242</v>
      </c>
      <c r="I8" s="26">
        <v>1431584</v>
      </c>
      <c r="J8" s="33">
        <f>7+191</f>
        <v>198</v>
      </c>
      <c r="K8" s="26">
        <f>31632+1088684</f>
        <v>1120316</v>
      </c>
    </row>
    <row r="9" spans="1:11" ht="14.25">
      <c r="A9" s="15" t="s">
        <v>14</v>
      </c>
      <c r="B9" s="33">
        <v>110</v>
      </c>
      <c r="C9" s="33">
        <v>760377</v>
      </c>
      <c r="D9" s="33">
        <v>106</v>
      </c>
      <c r="E9" s="26">
        <f>834728+32018</f>
        <v>866746</v>
      </c>
      <c r="F9" s="33">
        <v>115</v>
      </c>
      <c r="G9" s="26">
        <v>936275</v>
      </c>
      <c r="H9" s="33">
        <v>105</v>
      </c>
      <c r="I9" s="26">
        <v>782952</v>
      </c>
      <c r="J9" s="33">
        <f>2+89</f>
        <v>91</v>
      </c>
      <c r="K9" s="26">
        <f>31776+685983</f>
        <v>717759</v>
      </c>
    </row>
    <row r="10" spans="1:11" ht="14.25">
      <c r="A10" s="15" t="s">
        <v>16</v>
      </c>
      <c r="B10" s="33">
        <v>270</v>
      </c>
      <c r="C10" s="33">
        <v>1600775</v>
      </c>
      <c r="D10" s="33">
        <v>309</v>
      </c>
      <c r="E10" s="26">
        <f>1858128+44853</f>
        <v>1902981</v>
      </c>
      <c r="F10" s="33">
        <v>287</v>
      </c>
      <c r="G10" s="26">
        <v>1829684</v>
      </c>
      <c r="H10" s="33">
        <f>16+272</f>
        <v>288</v>
      </c>
      <c r="I10" s="26">
        <f>69469+1852971</f>
        <v>1922440</v>
      </c>
      <c r="J10" s="33">
        <f>8+217</f>
        <v>225</v>
      </c>
      <c r="K10" s="26">
        <f>39032+1552665</f>
        <v>1591697</v>
      </c>
    </row>
    <row r="11" spans="1:11" ht="14.25">
      <c r="A11" s="15" t="s">
        <v>17</v>
      </c>
      <c r="B11" s="33">
        <v>7153</v>
      </c>
      <c r="C11" s="33">
        <v>52883377</v>
      </c>
      <c r="D11" s="33">
        <v>7472</v>
      </c>
      <c r="E11" s="26">
        <f>56359277+621775</f>
        <v>56981052</v>
      </c>
      <c r="F11" s="33">
        <v>7906</v>
      </c>
      <c r="G11" s="26">
        <v>62865516</v>
      </c>
      <c r="H11" s="33">
        <f>225+8183</f>
        <v>8408</v>
      </c>
      <c r="I11" s="26">
        <f>733789+66747159</f>
        <v>67480948</v>
      </c>
      <c r="J11" s="33">
        <f>244+7982</f>
        <v>8226</v>
      </c>
      <c r="K11" s="26">
        <f>1048187+65385315</f>
        <v>66433502</v>
      </c>
    </row>
    <row r="12" spans="1:11" ht="14.25">
      <c r="A12" s="15" t="s">
        <v>19</v>
      </c>
      <c r="B12" s="33">
        <v>3876</v>
      </c>
      <c r="C12" s="33">
        <v>17867639</v>
      </c>
      <c r="D12" s="33">
        <f>3739+155</f>
        <v>3894</v>
      </c>
      <c r="E12" s="26">
        <f>17256182+483569</f>
        <v>17739751</v>
      </c>
      <c r="F12" s="33">
        <v>3939</v>
      </c>
      <c r="G12" s="26">
        <v>18307983</v>
      </c>
      <c r="H12" s="33">
        <f>140+3593</f>
        <v>3733</v>
      </c>
      <c r="I12" s="26">
        <f>596443+17064497</f>
        <v>17660940</v>
      </c>
      <c r="J12" s="33">
        <f>138+2825</f>
        <v>2963</v>
      </c>
      <c r="K12" s="26">
        <f>515907+13468660</f>
        <v>13984567</v>
      </c>
    </row>
    <row r="13" spans="1:11" ht="14.25">
      <c r="A13" s="15" t="s">
        <v>20</v>
      </c>
      <c r="B13" s="33">
        <v>956</v>
      </c>
      <c r="C13" s="33">
        <v>3662096</v>
      </c>
      <c r="D13" s="33">
        <f>995+34</f>
        <v>1029</v>
      </c>
      <c r="E13" s="26">
        <f>3784115+94776</f>
        <v>3878891</v>
      </c>
      <c r="F13" s="33">
        <v>1102</v>
      </c>
      <c r="G13" s="26">
        <v>4140369</v>
      </c>
      <c r="H13" s="33">
        <v>1084</v>
      </c>
      <c r="I13" s="26">
        <f>3885994+126013</f>
        <v>4012007</v>
      </c>
      <c r="J13" s="33">
        <f>30+727</f>
        <v>757</v>
      </c>
      <c r="K13" s="26">
        <f>104861+2867712</f>
        <v>2972573</v>
      </c>
    </row>
    <row r="14" spans="1:11" ht="14.25">
      <c r="A14" s="15" t="s">
        <v>22</v>
      </c>
      <c r="B14" s="33">
        <v>17</v>
      </c>
      <c r="C14" s="33">
        <v>75367</v>
      </c>
      <c r="D14" s="33">
        <v>13</v>
      </c>
      <c r="E14" s="26">
        <f>51297+4351</f>
        <v>55648</v>
      </c>
      <c r="F14" s="33">
        <v>9</v>
      </c>
      <c r="G14" s="26">
        <v>38812</v>
      </c>
      <c r="H14" s="33">
        <v>8</v>
      </c>
      <c r="I14" s="26">
        <v>36995</v>
      </c>
      <c r="J14" s="33">
        <v>6</v>
      </c>
      <c r="K14" s="26">
        <v>31834</v>
      </c>
    </row>
    <row r="15" spans="1:11" ht="14.25">
      <c r="A15" s="15" t="s">
        <v>24</v>
      </c>
      <c r="B15" s="33">
        <v>0</v>
      </c>
      <c r="C15" s="33">
        <v>0</v>
      </c>
      <c r="D15" s="33">
        <v>0</v>
      </c>
      <c r="E15" s="26">
        <v>0</v>
      </c>
      <c r="F15" s="33">
        <v>0</v>
      </c>
      <c r="G15" s="26">
        <v>0</v>
      </c>
      <c r="H15" s="33">
        <v>0</v>
      </c>
      <c r="I15" s="26">
        <v>0</v>
      </c>
      <c r="J15" s="33">
        <v>0</v>
      </c>
      <c r="K15" s="26">
        <v>0</v>
      </c>
    </row>
    <row r="16" spans="1:11" ht="14.25">
      <c r="A16" s="15" t="s">
        <v>26</v>
      </c>
      <c r="B16" s="33">
        <v>9</v>
      </c>
      <c r="C16" s="33">
        <v>33653</v>
      </c>
      <c r="D16" s="33">
        <v>9</v>
      </c>
      <c r="E16" s="26">
        <v>37304</v>
      </c>
      <c r="F16" s="33">
        <v>8</v>
      </c>
      <c r="G16" s="26">
        <v>36459</v>
      </c>
      <c r="H16" s="33">
        <v>11</v>
      </c>
      <c r="I16" s="26">
        <f>49523+2831</f>
        <v>52354</v>
      </c>
      <c r="J16" s="33">
        <f>1+6</f>
        <v>7</v>
      </c>
      <c r="K16" s="26">
        <f>1199+35143</f>
        <v>36342</v>
      </c>
    </row>
    <row r="17" spans="1:11" ht="14.25">
      <c r="A17" s="15" t="s">
        <v>28</v>
      </c>
      <c r="B17" s="33">
        <v>202</v>
      </c>
      <c r="C17" s="33">
        <v>1344591</v>
      </c>
      <c r="D17" s="33">
        <v>199</v>
      </c>
      <c r="E17" s="26">
        <f>1174260+15985</f>
        <v>1190245</v>
      </c>
      <c r="F17" s="33">
        <v>199</v>
      </c>
      <c r="G17" s="26">
        <v>1270491</v>
      </c>
      <c r="H17" s="33">
        <v>222</v>
      </c>
      <c r="I17" s="26">
        <f>1254459+8227</f>
        <v>1262686</v>
      </c>
      <c r="J17" s="33">
        <f>1+182</f>
        <v>183</v>
      </c>
      <c r="K17" s="26">
        <f>3410+1096668</f>
        <v>1100078</v>
      </c>
    </row>
    <row r="18" spans="1:11" ht="14.25">
      <c r="A18" s="15" t="s">
        <v>30</v>
      </c>
      <c r="B18" s="33">
        <v>15310</v>
      </c>
      <c r="C18" s="33">
        <v>69593054</v>
      </c>
      <c r="D18" s="33">
        <f>14939+594</f>
        <v>15533</v>
      </c>
      <c r="E18" s="26">
        <f>66991748+2176567</f>
        <v>69168315</v>
      </c>
      <c r="F18" s="33">
        <v>16410</v>
      </c>
      <c r="G18" s="26">
        <v>73520086</v>
      </c>
      <c r="H18" s="33">
        <f>15331+710</f>
        <v>16041</v>
      </c>
      <c r="I18" s="26">
        <f>69143791+2488452</f>
        <v>71632243</v>
      </c>
      <c r="J18" s="33">
        <f>630+12435+4</f>
        <v>13069</v>
      </c>
      <c r="K18" s="26">
        <f>2220821+56897618+12999</f>
        <v>59131438</v>
      </c>
    </row>
    <row r="19" spans="1:11" ht="14.25">
      <c r="A19" s="15" t="s">
        <v>32</v>
      </c>
      <c r="B19" s="33">
        <v>272</v>
      </c>
      <c r="C19" s="33">
        <v>1233966</v>
      </c>
      <c r="D19" s="33">
        <f>258+16</f>
        <v>274</v>
      </c>
      <c r="E19" s="26">
        <f>1187039+136643</f>
        <v>1323682</v>
      </c>
      <c r="F19" s="33">
        <v>273</v>
      </c>
      <c r="G19" s="26">
        <v>1213423</v>
      </c>
      <c r="H19" s="33">
        <v>242</v>
      </c>
      <c r="I19" s="26">
        <f>1039073+43200</f>
        <v>1082273</v>
      </c>
      <c r="J19" s="33">
        <f>7+177</f>
        <v>184</v>
      </c>
      <c r="K19" s="26">
        <f>34562+867492</f>
        <v>902054</v>
      </c>
    </row>
    <row r="20" spans="1:11" ht="14.25">
      <c r="A20" s="15" t="s">
        <v>34</v>
      </c>
      <c r="B20" s="33">
        <v>6</v>
      </c>
      <c r="C20" s="33">
        <v>29460</v>
      </c>
      <c r="D20" s="33">
        <v>7</v>
      </c>
      <c r="E20" s="26">
        <v>30914</v>
      </c>
      <c r="F20" s="33">
        <v>14</v>
      </c>
      <c r="G20" s="26">
        <v>70745</v>
      </c>
      <c r="H20" s="33">
        <v>9</v>
      </c>
      <c r="I20" s="26">
        <v>41934</v>
      </c>
      <c r="J20" s="33">
        <v>13</v>
      </c>
      <c r="K20" s="26">
        <v>60454</v>
      </c>
    </row>
    <row r="21" spans="1:11" ht="14.25">
      <c r="A21" s="15" t="s">
        <v>36</v>
      </c>
      <c r="B21" s="33">
        <v>7</v>
      </c>
      <c r="C21" s="33">
        <v>52137</v>
      </c>
      <c r="D21" s="33">
        <v>6</v>
      </c>
      <c r="E21" s="26">
        <v>58083</v>
      </c>
      <c r="F21" s="33">
        <v>5</v>
      </c>
      <c r="G21" s="26">
        <v>39274</v>
      </c>
      <c r="H21" s="33">
        <v>10</v>
      </c>
      <c r="I21" s="26">
        <f>80941+24180</f>
        <v>105121</v>
      </c>
      <c r="J21" s="33">
        <v>15</v>
      </c>
      <c r="K21" s="26">
        <v>98274</v>
      </c>
    </row>
    <row r="22" spans="1:11" ht="14.25">
      <c r="A22" s="15" t="s">
        <v>38</v>
      </c>
      <c r="B22" s="33">
        <v>179</v>
      </c>
      <c r="C22" s="33">
        <v>1070493</v>
      </c>
      <c r="D22" s="33">
        <v>156</v>
      </c>
      <c r="E22" s="26">
        <f>864217+23734</f>
        <v>887951</v>
      </c>
      <c r="F22" s="33">
        <v>153</v>
      </c>
      <c r="G22" s="26">
        <v>944014</v>
      </c>
      <c r="H22" s="33">
        <v>157</v>
      </c>
      <c r="I22" s="26">
        <f>851147+27769</f>
        <v>878916</v>
      </c>
      <c r="J22" s="33">
        <f>2+109</f>
        <v>111</v>
      </c>
      <c r="K22" s="26">
        <f>4970+627215</f>
        <v>632185</v>
      </c>
    </row>
    <row r="23" spans="1:11" ht="14.25">
      <c r="A23" s="15" t="s">
        <v>40</v>
      </c>
      <c r="B23" s="33">
        <v>88</v>
      </c>
      <c r="C23" s="33">
        <v>375804</v>
      </c>
      <c r="D23" s="33">
        <v>120</v>
      </c>
      <c r="E23" s="26">
        <f>413316+254609</f>
        <v>667925</v>
      </c>
      <c r="F23" s="33">
        <v>142</v>
      </c>
      <c r="G23" s="26">
        <v>661006</v>
      </c>
      <c r="H23" s="33">
        <v>144</v>
      </c>
      <c r="I23" s="26">
        <f>577086+13919</f>
        <v>591005</v>
      </c>
      <c r="J23" s="33">
        <f>16+124</f>
        <v>140</v>
      </c>
      <c r="K23" s="26">
        <f>116589+561734</f>
        <v>678323</v>
      </c>
    </row>
    <row r="24" spans="1:11" ht="14.25">
      <c r="A24" s="15" t="s">
        <v>42</v>
      </c>
      <c r="B24" s="33">
        <v>3344</v>
      </c>
      <c r="C24" s="33">
        <v>14684262</v>
      </c>
      <c r="D24" s="33">
        <f>3226+140</f>
        <v>3366</v>
      </c>
      <c r="E24" s="26">
        <f>14278700+652790</f>
        <v>14931490</v>
      </c>
      <c r="F24" s="33">
        <v>3216</v>
      </c>
      <c r="G24" s="26">
        <v>14255085</v>
      </c>
      <c r="H24" s="33">
        <f>2892+161</f>
        <v>3053</v>
      </c>
      <c r="I24" s="26">
        <f>12951154+870285</f>
        <v>13821439</v>
      </c>
      <c r="J24" s="33">
        <f>185+2410</f>
        <v>2595</v>
      </c>
      <c r="K24" s="26">
        <f>784627+11343774</f>
        <v>12128401</v>
      </c>
    </row>
    <row r="25" spans="1:11" ht="14.25">
      <c r="A25" s="15" t="s">
        <v>44</v>
      </c>
      <c r="B25" s="33">
        <v>4</v>
      </c>
      <c r="C25" s="33">
        <v>27018</v>
      </c>
      <c r="D25" s="33">
        <v>4</v>
      </c>
      <c r="E25" s="26">
        <v>32015</v>
      </c>
      <c r="F25" s="33">
        <v>8</v>
      </c>
      <c r="G25" s="26">
        <v>51187</v>
      </c>
      <c r="H25" s="33">
        <v>6</v>
      </c>
      <c r="I25" s="26">
        <v>42906</v>
      </c>
      <c r="J25" s="33">
        <v>4</v>
      </c>
      <c r="K25" s="26">
        <v>37218</v>
      </c>
    </row>
    <row r="26" spans="1:11" ht="14.25">
      <c r="A26" s="15" t="s">
        <v>46</v>
      </c>
      <c r="B26" s="33">
        <v>120</v>
      </c>
      <c r="C26" s="33">
        <v>1788097</v>
      </c>
      <c r="D26" s="33">
        <v>106</v>
      </c>
      <c r="E26" s="26">
        <f>1447491+21122</f>
        <v>1468613</v>
      </c>
      <c r="F26" s="33">
        <v>94</v>
      </c>
      <c r="G26" s="26">
        <v>1298863</v>
      </c>
      <c r="H26" s="33">
        <v>80</v>
      </c>
      <c r="I26" s="26">
        <f>521430+2143</f>
        <v>523573</v>
      </c>
      <c r="J26" s="33">
        <v>79</v>
      </c>
      <c r="K26" s="26">
        <v>537786</v>
      </c>
    </row>
    <row r="27" spans="1:11" ht="14.25">
      <c r="A27" s="15" t="s">
        <v>48</v>
      </c>
      <c r="B27" s="33">
        <v>163</v>
      </c>
      <c r="C27" s="33">
        <v>838733</v>
      </c>
      <c r="D27" s="33">
        <v>170</v>
      </c>
      <c r="E27" s="26">
        <f>872845+41740</f>
        <v>914585</v>
      </c>
      <c r="F27" s="33">
        <v>168</v>
      </c>
      <c r="G27" s="26">
        <v>941576</v>
      </c>
      <c r="H27" s="33">
        <v>171</v>
      </c>
      <c r="I27" s="26">
        <f>2994+953236</f>
        <v>956230</v>
      </c>
      <c r="J27" s="33">
        <f>10+119</f>
        <v>129</v>
      </c>
      <c r="K27" s="26">
        <f>40241+682335</f>
        <v>722576</v>
      </c>
    </row>
    <row r="28" spans="1:11" ht="14.25">
      <c r="A28" s="15" t="s">
        <v>50</v>
      </c>
      <c r="B28" s="33">
        <v>0</v>
      </c>
      <c r="C28" s="33">
        <v>0</v>
      </c>
      <c r="D28" s="33">
        <v>0</v>
      </c>
      <c r="E28" s="26">
        <v>0</v>
      </c>
      <c r="F28" s="33">
        <v>0</v>
      </c>
      <c r="G28" s="26">
        <v>0</v>
      </c>
      <c r="H28" s="33">
        <v>0</v>
      </c>
      <c r="I28" s="26">
        <v>0</v>
      </c>
      <c r="J28" s="33"/>
      <c r="K28" s="26"/>
    </row>
    <row r="29" spans="1:11" ht="14.25">
      <c r="A29" s="15" t="s">
        <v>52</v>
      </c>
      <c r="B29" s="33">
        <v>8</v>
      </c>
      <c r="C29" s="33">
        <v>109281</v>
      </c>
      <c r="D29" s="33">
        <v>11</v>
      </c>
      <c r="E29" s="26">
        <v>115983</v>
      </c>
      <c r="F29" s="33">
        <v>14</v>
      </c>
      <c r="G29" s="26">
        <v>128423</v>
      </c>
      <c r="H29" s="33">
        <v>8</v>
      </c>
      <c r="I29" s="26">
        <f>60493+3773</f>
        <v>64266</v>
      </c>
      <c r="J29" s="33">
        <v>7</v>
      </c>
      <c r="K29" s="26">
        <v>66172</v>
      </c>
    </row>
    <row r="30" spans="1:11" ht="14.25">
      <c r="A30" s="15" t="s">
        <v>54</v>
      </c>
      <c r="B30" s="33">
        <v>0</v>
      </c>
      <c r="C30" s="33">
        <v>0</v>
      </c>
      <c r="D30" s="33">
        <v>0</v>
      </c>
      <c r="E30" s="26">
        <v>0</v>
      </c>
      <c r="F30" s="33">
        <v>0</v>
      </c>
      <c r="G30" s="26">
        <v>0</v>
      </c>
      <c r="H30" s="33">
        <v>0</v>
      </c>
      <c r="I30" s="26">
        <v>0</v>
      </c>
      <c r="J30" s="33"/>
      <c r="K30" s="26"/>
    </row>
    <row r="31" spans="1:11" ht="14.25">
      <c r="A31" s="15" t="s">
        <v>56</v>
      </c>
      <c r="B31" s="33">
        <v>185</v>
      </c>
      <c r="C31" s="33">
        <v>820971</v>
      </c>
      <c r="D31" s="33">
        <v>190</v>
      </c>
      <c r="E31" s="26">
        <f>821439+15631</f>
        <v>837070</v>
      </c>
      <c r="F31" s="33">
        <v>198</v>
      </c>
      <c r="G31" s="26">
        <v>899005</v>
      </c>
      <c r="H31" s="33">
        <v>187</v>
      </c>
      <c r="I31" s="26">
        <f>814208+36437</f>
        <v>850645</v>
      </c>
      <c r="J31" s="33">
        <f>13+150</f>
        <v>163</v>
      </c>
      <c r="K31" s="26">
        <f>35651+681614</f>
        <v>717265</v>
      </c>
    </row>
    <row r="32" spans="1:11" ht="14.25">
      <c r="A32" s="15" t="s">
        <v>58</v>
      </c>
      <c r="B32" s="33">
        <v>850</v>
      </c>
      <c r="C32" s="33">
        <v>4051280</v>
      </c>
      <c r="D32" s="33">
        <f>848+19</f>
        <v>867</v>
      </c>
      <c r="E32" s="26">
        <f>4055423+69109</f>
        <v>4124532</v>
      </c>
      <c r="F32" s="33">
        <v>887</v>
      </c>
      <c r="G32" s="26">
        <v>4253227</v>
      </c>
      <c r="H32" s="33">
        <f>943+29</f>
        <v>972</v>
      </c>
      <c r="I32" s="26">
        <f>4486629+86771</f>
        <v>4573400</v>
      </c>
      <c r="J32" s="33">
        <f>29+824</f>
        <v>853</v>
      </c>
      <c r="K32" s="26">
        <f>106526+4121707</f>
        <v>4228233</v>
      </c>
    </row>
    <row r="33" spans="1:11" ht="14.25">
      <c r="A33" s="15" t="s">
        <v>60</v>
      </c>
      <c r="B33" s="33">
        <v>30</v>
      </c>
      <c r="C33" s="33">
        <v>142599</v>
      </c>
      <c r="D33" s="33">
        <f>24+2</f>
        <v>26</v>
      </c>
      <c r="E33" s="26">
        <f>131442+5220</f>
        <v>136662</v>
      </c>
      <c r="F33" s="33">
        <v>30</v>
      </c>
      <c r="G33" s="26">
        <v>141217</v>
      </c>
      <c r="H33" s="33">
        <v>15</v>
      </c>
      <c r="I33" s="26">
        <f>61649+8816</f>
        <v>70465</v>
      </c>
      <c r="J33" s="33">
        <v>16</v>
      </c>
      <c r="K33" s="26">
        <v>61320</v>
      </c>
    </row>
    <row r="34" spans="1:11" ht="14.25">
      <c r="A34" s="15" t="s">
        <v>62</v>
      </c>
      <c r="B34" s="33">
        <v>42</v>
      </c>
      <c r="C34" s="33">
        <v>167858</v>
      </c>
      <c r="D34" s="33">
        <f>37+1</f>
        <v>38</v>
      </c>
      <c r="E34" s="26">
        <f>166487+3498</f>
        <v>169985</v>
      </c>
      <c r="F34" s="33">
        <v>31</v>
      </c>
      <c r="G34" s="26">
        <v>121735</v>
      </c>
      <c r="H34" s="33">
        <f>33+5</f>
        <v>38</v>
      </c>
      <c r="I34" s="26">
        <f>141672+15877</f>
        <v>157549</v>
      </c>
      <c r="J34" s="33">
        <f>2+24</f>
        <v>26</v>
      </c>
      <c r="K34" s="26">
        <f>5875+105698</f>
        <v>111573</v>
      </c>
    </row>
    <row r="35" spans="1:11" ht="14.25">
      <c r="A35" s="15" t="s">
        <v>64</v>
      </c>
      <c r="B35" s="33">
        <v>0</v>
      </c>
      <c r="C35" s="33">
        <v>0</v>
      </c>
      <c r="D35" s="33">
        <v>0</v>
      </c>
      <c r="E35" s="26">
        <v>0</v>
      </c>
      <c r="F35" s="33">
        <v>0</v>
      </c>
      <c r="G35" s="26">
        <v>0</v>
      </c>
      <c r="H35" s="33">
        <v>0</v>
      </c>
      <c r="I35" s="26">
        <v>0</v>
      </c>
      <c r="J35" s="33">
        <v>0</v>
      </c>
      <c r="K35" s="26">
        <v>0</v>
      </c>
    </row>
    <row r="36" spans="1:11" ht="14.25">
      <c r="A36" s="15" t="s">
        <v>57</v>
      </c>
      <c r="B36" s="33">
        <v>10</v>
      </c>
      <c r="C36" s="33">
        <v>76715</v>
      </c>
      <c r="D36" s="33">
        <v>12</v>
      </c>
      <c r="E36" s="26">
        <v>95909</v>
      </c>
      <c r="F36" s="33">
        <v>11</v>
      </c>
      <c r="G36" s="26">
        <v>99697</v>
      </c>
      <c r="H36" s="33">
        <v>16</v>
      </c>
      <c r="I36" s="26">
        <f>81808+55939</f>
        <v>137747</v>
      </c>
      <c r="J36" s="33">
        <v>10</v>
      </c>
      <c r="K36" s="26">
        <v>64966</v>
      </c>
    </row>
    <row r="37" spans="1:11" ht="14.25">
      <c r="A37" s="15" t="s">
        <v>67</v>
      </c>
      <c r="B37" s="33">
        <v>1</v>
      </c>
      <c r="C37" s="33">
        <v>17499</v>
      </c>
      <c r="D37" s="33">
        <v>1</v>
      </c>
      <c r="E37" s="26">
        <v>10825</v>
      </c>
      <c r="F37" s="33">
        <v>1</v>
      </c>
      <c r="G37" s="26">
        <v>11127</v>
      </c>
      <c r="H37" s="33">
        <v>1</v>
      </c>
      <c r="I37" s="26">
        <v>7743</v>
      </c>
      <c r="J37" s="33">
        <v>2</v>
      </c>
      <c r="K37" s="26">
        <v>11700</v>
      </c>
    </row>
    <row r="38" spans="1:11" ht="14.25">
      <c r="A38" s="15" t="s">
        <v>69</v>
      </c>
      <c r="B38" s="33">
        <v>0</v>
      </c>
      <c r="C38" s="33">
        <v>0</v>
      </c>
      <c r="D38" s="33">
        <v>0</v>
      </c>
      <c r="E38" s="26">
        <v>0</v>
      </c>
      <c r="F38" s="33">
        <v>3</v>
      </c>
      <c r="G38" s="26">
        <v>13622</v>
      </c>
      <c r="H38" s="33">
        <v>1</v>
      </c>
      <c r="I38" s="26">
        <v>1128</v>
      </c>
      <c r="J38" s="33">
        <v>2</v>
      </c>
      <c r="K38" s="26">
        <v>8590</v>
      </c>
    </row>
    <row r="39" spans="1:11" ht="14.25">
      <c r="A39" s="15" t="s">
        <v>71</v>
      </c>
      <c r="B39" s="33">
        <v>76</v>
      </c>
      <c r="C39" s="33">
        <v>304208</v>
      </c>
      <c r="D39" s="33">
        <f>78</f>
        <v>78</v>
      </c>
      <c r="E39" s="26">
        <f>345845+9384</f>
        <v>355229</v>
      </c>
      <c r="F39" s="33">
        <v>82</v>
      </c>
      <c r="G39" s="26">
        <v>359499</v>
      </c>
      <c r="H39" s="33">
        <v>85</v>
      </c>
      <c r="I39" s="26">
        <f>350931+16782</f>
        <v>367713</v>
      </c>
      <c r="J39" s="33">
        <f>6+66</f>
        <v>72</v>
      </c>
      <c r="K39" s="26">
        <f>24146+319189</f>
        <v>343335</v>
      </c>
    </row>
    <row r="40" spans="1:11" ht="14.25">
      <c r="A40" s="15" t="s">
        <v>73</v>
      </c>
      <c r="B40" s="33">
        <v>2</v>
      </c>
      <c r="C40" s="33">
        <v>9539</v>
      </c>
      <c r="D40" s="33">
        <v>1</v>
      </c>
      <c r="E40" s="26">
        <v>4433</v>
      </c>
      <c r="F40" s="33">
        <v>4</v>
      </c>
      <c r="G40" s="26">
        <v>13731</v>
      </c>
      <c r="H40" s="33">
        <v>6</v>
      </c>
      <c r="I40" s="26">
        <v>23081</v>
      </c>
      <c r="J40" s="33">
        <v>6</v>
      </c>
      <c r="K40" s="26">
        <v>27419</v>
      </c>
    </row>
    <row r="41" spans="1:11" ht="14.25">
      <c r="A41" s="15" t="s">
        <v>75</v>
      </c>
      <c r="B41" s="33">
        <v>9</v>
      </c>
      <c r="C41" s="33">
        <v>158491</v>
      </c>
      <c r="D41" s="33">
        <v>11</v>
      </c>
      <c r="E41" s="26">
        <v>176380</v>
      </c>
      <c r="F41" s="33">
        <v>10</v>
      </c>
      <c r="G41" s="26">
        <v>163419</v>
      </c>
      <c r="H41" s="33">
        <v>8</v>
      </c>
      <c r="I41" s="26">
        <v>161977</v>
      </c>
      <c r="J41" s="33">
        <v>7</v>
      </c>
      <c r="K41" s="26">
        <v>104653</v>
      </c>
    </row>
    <row r="42" spans="1:11" ht="14.25">
      <c r="A42" s="8" t="s">
        <v>77</v>
      </c>
      <c r="B42" s="37">
        <v>29</v>
      </c>
      <c r="C42" s="37">
        <v>169095</v>
      </c>
      <c r="D42" s="37">
        <v>30</v>
      </c>
      <c r="E42" s="27">
        <f>6564+176779</f>
        <v>183343</v>
      </c>
      <c r="F42" s="37">
        <v>30</v>
      </c>
      <c r="G42" s="27">
        <v>260673</v>
      </c>
      <c r="H42" s="37">
        <v>26</v>
      </c>
      <c r="I42" s="27">
        <f>179410+3173</f>
        <v>182583</v>
      </c>
      <c r="J42" s="37">
        <f>4+22</f>
        <v>26</v>
      </c>
      <c r="K42" s="27">
        <f>14001+179924</f>
        <v>193925</v>
      </c>
    </row>
    <row r="43" spans="1:11" ht="14.25">
      <c r="A43" s="10"/>
      <c r="B43" s="32"/>
      <c r="C43" s="32"/>
      <c r="D43" s="32"/>
      <c r="E43" s="25"/>
      <c r="F43" s="32"/>
      <c r="G43" s="25"/>
      <c r="H43" s="32"/>
      <c r="I43" s="25"/>
      <c r="J43" s="32"/>
      <c r="K43" s="25"/>
    </row>
    <row r="44" spans="1:11" ht="14.25">
      <c r="A44" s="8" t="s">
        <v>18</v>
      </c>
      <c r="B44" s="36">
        <f aca="true" t="shared" si="0" ref="B44:G44">SUM(B7:B42)</f>
        <v>42616</v>
      </c>
      <c r="C44" s="36">
        <f t="shared" si="0"/>
        <v>219308126</v>
      </c>
      <c r="D44" s="36">
        <f t="shared" si="0"/>
        <v>42769</v>
      </c>
      <c r="E44" s="28">
        <f t="shared" si="0"/>
        <v>220096471</v>
      </c>
      <c r="F44" s="36">
        <f t="shared" si="0"/>
        <v>44072</v>
      </c>
      <c r="G44" s="28">
        <f t="shared" si="0"/>
        <v>231159450</v>
      </c>
      <c r="H44" s="36">
        <f>SUM(H7:H42)</f>
        <v>43077</v>
      </c>
      <c r="I44" s="28">
        <f>SUM(I7:I42)</f>
        <v>228519165</v>
      </c>
      <c r="J44" s="36">
        <f>SUM(J7:J42)</f>
        <v>36894</v>
      </c>
      <c r="K44" s="28">
        <f>SUM(K7:K42)</f>
        <v>201968425</v>
      </c>
    </row>
    <row r="45" spans="1:11" ht="14.25">
      <c r="A45" s="10"/>
      <c r="B45" s="11" t="s">
        <v>6</v>
      </c>
      <c r="C45" s="11" t="s">
        <v>7</v>
      </c>
      <c r="D45" s="11" t="s">
        <v>6</v>
      </c>
      <c r="E45" s="24" t="s">
        <v>7</v>
      </c>
      <c r="F45" s="11" t="s">
        <v>6</v>
      </c>
      <c r="G45" s="12" t="s">
        <v>7</v>
      </c>
      <c r="H45" s="11" t="s">
        <v>6</v>
      </c>
      <c r="I45" s="12" t="s">
        <v>7</v>
      </c>
      <c r="J45" s="11" t="s">
        <v>6</v>
      </c>
      <c r="K45" s="12" t="s">
        <v>7</v>
      </c>
    </row>
    <row r="46" spans="1:18" ht="14.25">
      <c r="A46" s="13" t="s">
        <v>9</v>
      </c>
      <c r="B46" s="10"/>
      <c r="C46" s="10"/>
      <c r="D46" s="10"/>
      <c r="E46" s="25"/>
      <c r="F46" s="10"/>
      <c r="G46" s="14"/>
      <c r="H46" s="10"/>
      <c r="I46" s="14"/>
      <c r="J46" s="10"/>
      <c r="K46" s="14"/>
      <c r="M46" s="45"/>
      <c r="N46" s="45"/>
      <c r="O46" s="45"/>
      <c r="P46" s="45"/>
      <c r="Q46" s="45"/>
      <c r="R46" s="46"/>
    </row>
    <row r="47" spans="1:19" ht="14.25">
      <c r="A47" s="34" t="s">
        <v>11</v>
      </c>
      <c r="B47" s="47">
        <v>1</v>
      </c>
      <c r="C47" s="47">
        <v>5604</v>
      </c>
      <c r="D47" s="33">
        <v>2</v>
      </c>
      <c r="E47" s="26">
        <v>11482</v>
      </c>
      <c r="F47" s="33">
        <v>1</v>
      </c>
      <c r="G47" s="26">
        <v>8304</v>
      </c>
      <c r="H47" s="33">
        <v>6</v>
      </c>
      <c r="I47" s="26">
        <v>50236</v>
      </c>
      <c r="J47" s="33">
        <v>1</v>
      </c>
      <c r="K47" s="26">
        <v>7858</v>
      </c>
      <c r="M47" s="2"/>
      <c r="N47" s="2"/>
      <c r="O47" s="2"/>
      <c r="P47" s="2"/>
      <c r="Q47" s="2"/>
      <c r="R47" s="44"/>
      <c r="S47" s="2"/>
    </row>
    <row r="48" spans="1:19" ht="14.25">
      <c r="A48" s="34" t="s">
        <v>13</v>
      </c>
      <c r="B48" s="47">
        <v>0</v>
      </c>
      <c r="C48" s="47">
        <v>0</v>
      </c>
      <c r="D48" s="33">
        <v>0</v>
      </c>
      <c r="E48" s="26">
        <v>0</v>
      </c>
      <c r="F48" s="33">
        <v>0</v>
      </c>
      <c r="G48" s="26">
        <v>0</v>
      </c>
      <c r="H48" s="33">
        <v>0</v>
      </c>
      <c r="I48" s="26">
        <v>0</v>
      </c>
      <c r="J48" s="33">
        <v>0</v>
      </c>
      <c r="K48" s="26">
        <v>0</v>
      </c>
      <c r="M48" s="22"/>
      <c r="N48" s="22"/>
      <c r="O48" s="22"/>
      <c r="P48" s="22"/>
      <c r="Q48" s="22"/>
      <c r="R48" s="29"/>
      <c r="S48" s="22"/>
    </row>
    <row r="49" spans="1:19" ht="14.25">
      <c r="A49" s="35" t="s">
        <v>15</v>
      </c>
      <c r="B49" s="48">
        <v>0</v>
      </c>
      <c r="C49" s="48">
        <v>0</v>
      </c>
      <c r="D49" s="37">
        <v>0</v>
      </c>
      <c r="E49" s="27">
        <v>0</v>
      </c>
      <c r="F49" s="37">
        <v>0</v>
      </c>
      <c r="G49" s="27">
        <v>0</v>
      </c>
      <c r="H49" s="37">
        <v>0</v>
      </c>
      <c r="I49" s="27">
        <v>0</v>
      </c>
      <c r="J49" s="37">
        <v>0</v>
      </c>
      <c r="K49" s="27">
        <v>0</v>
      </c>
      <c r="M49" s="22"/>
      <c r="N49" s="22"/>
      <c r="O49" s="22"/>
      <c r="P49" s="22"/>
      <c r="Q49" s="22"/>
      <c r="R49" s="29"/>
      <c r="S49" s="22"/>
    </row>
    <row r="50" spans="1:19" ht="14.25">
      <c r="A50" s="32"/>
      <c r="B50" s="32"/>
      <c r="C50" s="32"/>
      <c r="D50" s="32"/>
      <c r="E50" s="25"/>
      <c r="F50" s="32"/>
      <c r="G50" s="25"/>
      <c r="H50" s="32"/>
      <c r="I50" s="25"/>
      <c r="J50" s="32"/>
      <c r="K50" s="25"/>
      <c r="M50" s="22"/>
      <c r="N50" s="22"/>
      <c r="O50" s="22"/>
      <c r="P50" s="22"/>
      <c r="Q50" s="22"/>
      <c r="R50" s="29"/>
      <c r="S50" s="22"/>
    </row>
    <row r="51" spans="1:19" ht="14.25">
      <c r="A51" s="35" t="s">
        <v>18</v>
      </c>
      <c r="B51" s="36">
        <f aca="true" t="shared" si="1" ref="B51:G51">SUM(B47:B49)</f>
        <v>1</v>
      </c>
      <c r="C51" s="36">
        <f t="shared" si="1"/>
        <v>5604</v>
      </c>
      <c r="D51" s="36">
        <f t="shared" si="1"/>
        <v>2</v>
      </c>
      <c r="E51" s="28">
        <f t="shared" si="1"/>
        <v>11482</v>
      </c>
      <c r="F51" s="36">
        <f t="shared" si="1"/>
        <v>1</v>
      </c>
      <c r="G51" s="28">
        <f t="shared" si="1"/>
        <v>8304</v>
      </c>
      <c r="H51" s="36">
        <f>SUM(H47:H49)</f>
        <v>6</v>
      </c>
      <c r="I51" s="28">
        <f>SUM(I47:I49)</f>
        <v>50236</v>
      </c>
      <c r="J51" s="36">
        <f>SUM(J47:J49)</f>
        <v>1</v>
      </c>
      <c r="K51" s="28">
        <f>SUM(K47:K49)</f>
        <v>7858</v>
      </c>
      <c r="M51" s="22"/>
      <c r="N51" s="22"/>
      <c r="O51" s="22"/>
      <c r="P51" s="22"/>
      <c r="Q51" s="22"/>
      <c r="R51" s="29"/>
      <c r="S51" s="22"/>
    </row>
    <row r="52" spans="1:19" ht="14.25">
      <c r="A52" s="32"/>
      <c r="B52" s="11" t="s">
        <v>6</v>
      </c>
      <c r="C52" s="11" t="s">
        <v>7</v>
      </c>
      <c r="D52" s="11" t="s">
        <v>6</v>
      </c>
      <c r="E52" s="24" t="s">
        <v>7</v>
      </c>
      <c r="F52" s="11" t="s">
        <v>6</v>
      </c>
      <c r="G52" s="12" t="s">
        <v>7</v>
      </c>
      <c r="H52" s="11" t="s">
        <v>6</v>
      </c>
      <c r="I52" s="12" t="s">
        <v>7</v>
      </c>
      <c r="J52" s="11" t="s">
        <v>6</v>
      </c>
      <c r="K52" s="12" t="s">
        <v>7</v>
      </c>
      <c r="M52" s="22"/>
      <c r="N52" s="22"/>
      <c r="O52" s="22"/>
      <c r="P52" s="22"/>
      <c r="Q52" s="22"/>
      <c r="R52" s="29"/>
      <c r="S52" s="22"/>
    </row>
    <row r="53" spans="1:19" ht="14.25">
      <c r="A53" s="38" t="s">
        <v>21</v>
      </c>
      <c r="B53" s="32"/>
      <c r="C53" s="32"/>
      <c r="D53" s="32"/>
      <c r="E53" s="25"/>
      <c r="F53" s="32"/>
      <c r="G53" s="25"/>
      <c r="H53" s="32"/>
      <c r="I53" s="25"/>
      <c r="J53" s="32"/>
      <c r="K53" s="25"/>
      <c r="M53" s="22"/>
      <c r="N53" s="22"/>
      <c r="O53" s="22"/>
      <c r="P53" s="22"/>
      <c r="Q53" s="22"/>
      <c r="R53" s="29"/>
      <c r="S53" s="22"/>
    </row>
    <row r="54" spans="1:19" ht="14.25">
      <c r="A54" s="34" t="s">
        <v>23</v>
      </c>
      <c r="B54" s="47">
        <v>582</v>
      </c>
      <c r="C54" s="47">
        <v>6677367</v>
      </c>
      <c r="D54" s="33">
        <v>616</v>
      </c>
      <c r="E54" s="26">
        <v>6988052</v>
      </c>
      <c r="F54" s="33">
        <v>611</v>
      </c>
      <c r="G54" s="26">
        <f>6847849+215569</f>
        <v>7063418</v>
      </c>
      <c r="H54" s="33">
        <f>531+70</f>
        <v>601</v>
      </c>
      <c r="I54" s="26">
        <f>6374640+254441</f>
        <v>6629081</v>
      </c>
      <c r="J54" s="33">
        <f>468+72</f>
        <v>540</v>
      </c>
      <c r="K54" s="26">
        <f>5512769+261309</f>
        <v>5774078</v>
      </c>
      <c r="M54" s="22"/>
      <c r="N54" s="22"/>
      <c r="O54" s="22"/>
      <c r="P54" s="22"/>
      <c r="Q54" s="22"/>
      <c r="R54" s="29"/>
      <c r="S54" s="22"/>
    </row>
    <row r="55" spans="1:19" ht="14.25">
      <c r="A55" s="34" t="s">
        <v>25</v>
      </c>
      <c r="B55" s="47">
        <v>295</v>
      </c>
      <c r="C55" s="47">
        <v>1606815</v>
      </c>
      <c r="D55" s="33">
        <v>256</v>
      </c>
      <c r="E55" s="26">
        <v>1434671</v>
      </c>
      <c r="F55" s="33">
        <v>292</v>
      </c>
      <c r="G55" s="26">
        <f>1641023+13208</f>
        <v>1654231</v>
      </c>
      <c r="H55" s="33">
        <f>266+41</f>
        <v>307</v>
      </c>
      <c r="I55" s="26">
        <f>1481771+35737</f>
        <v>1517508</v>
      </c>
      <c r="J55" s="33">
        <f>231+19</f>
        <v>250</v>
      </c>
      <c r="K55" s="26">
        <f>1371093+36660</f>
        <v>1407753</v>
      </c>
      <c r="M55" s="22"/>
      <c r="N55" s="22"/>
      <c r="O55" s="22"/>
      <c r="P55" s="22"/>
      <c r="Q55" s="22"/>
      <c r="R55" s="29"/>
      <c r="S55" s="22"/>
    </row>
    <row r="56" spans="1:19" ht="14.25">
      <c r="A56" s="34" t="s">
        <v>27</v>
      </c>
      <c r="B56" s="47">
        <v>58</v>
      </c>
      <c r="C56" s="47">
        <v>247150</v>
      </c>
      <c r="D56" s="33">
        <v>61</v>
      </c>
      <c r="E56" s="26">
        <v>255445</v>
      </c>
      <c r="F56" s="33">
        <v>41</v>
      </c>
      <c r="G56" s="26">
        <f>178426+6449</f>
        <v>184875</v>
      </c>
      <c r="H56" s="33">
        <f>41+2</f>
        <v>43</v>
      </c>
      <c r="I56" s="26">
        <f>195567+2808</f>
        <v>198375</v>
      </c>
      <c r="J56" s="33">
        <f>38+2</f>
        <v>40</v>
      </c>
      <c r="K56" s="26">
        <f>181861+2935</f>
        <v>184796</v>
      </c>
      <c r="M56" s="22"/>
      <c r="N56" s="22"/>
      <c r="O56" s="22"/>
      <c r="P56" s="22"/>
      <c r="Q56" s="22"/>
      <c r="R56" s="29"/>
      <c r="S56" s="22"/>
    </row>
    <row r="57" spans="1:19" ht="14.25">
      <c r="A57" s="34" t="s">
        <v>29</v>
      </c>
      <c r="B57" s="47">
        <v>128</v>
      </c>
      <c r="C57" s="47">
        <v>744609</v>
      </c>
      <c r="D57" s="33">
        <v>135</v>
      </c>
      <c r="E57" s="26">
        <v>836643</v>
      </c>
      <c r="F57" s="33">
        <v>148</v>
      </c>
      <c r="G57" s="26">
        <v>939529</v>
      </c>
      <c r="H57" s="33">
        <f>137+6</f>
        <v>143</v>
      </c>
      <c r="I57" s="26">
        <f>941772+13436</f>
        <v>955208</v>
      </c>
      <c r="J57" s="33">
        <f>137+8</f>
        <v>145</v>
      </c>
      <c r="K57" s="26">
        <f>1010414+37567</f>
        <v>1047981</v>
      </c>
      <c r="M57" s="22"/>
      <c r="N57" s="22"/>
      <c r="O57" s="22"/>
      <c r="P57" s="22"/>
      <c r="Q57" s="22"/>
      <c r="R57" s="29"/>
      <c r="S57" s="22"/>
    </row>
    <row r="58" spans="1:19" ht="14.25">
      <c r="A58" s="34" t="s">
        <v>31</v>
      </c>
      <c r="B58" s="47">
        <v>0</v>
      </c>
      <c r="C58" s="47">
        <v>0</v>
      </c>
      <c r="D58" s="33">
        <v>0</v>
      </c>
      <c r="E58" s="26">
        <v>0</v>
      </c>
      <c r="F58" s="33">
        <v>0</v>
      </c>
      <c r="G58" s="26">
        <v>0</v>
      </c>
      <c r="H58" s="33">
        <v>0</v>
      </c>
      <c r="I58" s="26">
        <v>0</v>
      </c>
      <c r="J58" s="33">
        <v>1</v>
      </c>
      <c r="K58" s="26">
        <v>3170</v>
      </c>
      <c r="M58" s="22"/>
      <c r="N58" s="22"/>
      <c r="O58" s="22"/>
      <c r="P58" s="22"/>
      <c r="Q58" s="22"/>
      <c r="R58" s="29"/>
      <c r="S58" s="22"/>
    </row>
    <row r="59" spans="1:19" ht="14.25">
      <c r="A59" s="34" t="s">
        <v>33</v>
      </c>
      <c r="B59" s="47">
        <v>283</v>
      </c>
      <c r="C59" s="47">
        <v>1234393</v>
      </c>
      <c r="D59" s="33">
        <v>288</v>
      </c>
      <c r="E59" s="26">
        <v>1235373</v>
      </c>
      <c r="F59" s="33">
        <v>278</v>
      </c>
      <c r="G59" s="26">
        <f>1130792+29363</f>
        <v>1160155</v>
      </c>
      <c r="H59" s="33">
        <f>298+6</f>
        <v>304</v>
      </c>
      <c r="I59" s="26">
        <f>1258001+17668</f>
        <v>1275669</v>
      </c>
      <c r="J59" s="33">
        <f>277+5</f>
        <v>282</v>
      </c>
      <c r="K59" s="26">
        <f>1194783+18146</f>
        <v>1212929</v>
      </c>
      <c r="M59" s="22"/>
      <c r="N59" s="22"/>
      <c r="O59" s="22"/>
      <c r="P59" s="22"/>
      <c r="Q59" s="22"/>
      <c r="R59" s="29"/>
      <c r="S59" s="22"/>
    </row>
    <row r="60" spans="1:19" ht="14.25">
      <c r="A60" s="34" t="s">
        <v>35</v>
      </c>
      <c r="B60" s="47">
        <v>391</v>
      </c>
      <c r="C60" s="47">
        <v>4796321</v>
      </c>
      <c r="D60" s="33">
        <v>396</v>
      </c>
      <c r="E60" s="26">
        <v>4910202</v>
      </c>
      <c r="F60" s="33">
        <v>399</v>
      </c>
      <c r="G60" s="26">
        <f>5101625+3337</f>
        <v>5104962</v>
      </c>
      <c r="H60" s="33">
        <v>404</v>
      </c>
      <c r="I60" s="26">
        <f>5379795+27420</f>
        <v>5407215</v>
      </c>
      <c r="J60" s="33">
        <f>402+5</f>
        <v>407</v>
      </c>
      <c r="K60" s="26">
        <f>5591216+23178</f>
        <v>5614394</v>
      </c>
      <c r="M60" s="22"/>
      <c r="N60" s="22"/>
      <c r="O60" s="22"/>
      <c r="P60" s="22"/>
      <c r="Q60" s="22"/>
      <c r="R60" s="29"/>
      <c r="S60" s="22"/>
    </row>
    <row r="61" spans="1:19" ht="14.25">
      <c r="A61" s="34" t="s">
        <v>37</v>
      </c>
      <c r="B61" s="47">
        <v>382</v>
      </c>
      <c r="C61" s="47">
        <v>3381562</v>
      </c>
      <c r="D61" s="33">
        <v>435</v>
      </c>
      <c r="E61" s="26">
        <v>4603779</v>
      </c>
      <c r="F61" s="33">
        <v>433</v>
      </c>
      <c r="G61" s="26">
        <f>4111785+39193</f>
        <v>4150978</v>
      </c>
      <c r="H61" s="33">
        <v>408</v>
      </c>
      <c r="I61" s="26">
        <f>3318634+32389</f>
        <v>3351023</v>
      </c>
      <c r="J61" s="33">
        <f>344+17</f>
        <v>361</v>
      </c>
      <c r="K61" s="26">
        <f>2763029+38028</f>
        <v>2801057</v>
      </c>
      <c r="M61" s="23"/>
      <c r="N61" s="23"/>
      <c r="O61" s="23"/>
      <c r="P61" s="23"/>
      <c r="Q61" s="23"/>
      <c r="R61" s="30"/>
      <c r="S61" s="22"/>
    </row>
    <row r="62" spans="1:19" ht="14.25">
      <c r="A62" s="34" t="s">
        <v>39</v>
      </c>
      <c r="B62" s="47">
        <v>72</v>
      </c>
      <c r="C62" s="47">
        <v>440074</v>
      </c>
      <c r="D62" s="33">
        <v>89</v>
      </c>
      <c r="E62" s="26">
        <v>555153</v>
      </c>
      <c r="F62" s="33">
        <v>97</v>
      </c>
      <c r="G62" s="26">
        <f>581855+5913</f>
        <v>587768</v>
      </c>
      <c r="H62" s="33">
        <v>98</v>
      </c>
      <c r="I62" s="26">
        <v>634151</v>
      </c>
      <c r="J62" s="33">
        <f>81+2</f>
        <v>83</v>
      </c>
      <c r="K62" s="26">
        <f>494052+3708</f>
        <v>497760</v>
      </c>
      <c r="M62" s="23"/>
      <c r="N62" s="23"/>
      <c r="O62" s="23"/>
      <c r="P62" s="23"/>
      <c r="Q62" s="23"/>
      <c r="R62" s="30"/>
      <c r="S62" s="22"/>
    </row>
    <row r="63" spans="1:19" ht="14.25">
      <c r="A63" s="34" t="s">
        <v>41</v>
      </c>
      <c r="B63" s="47">
        <v>26</v>
      </c>
      <c r="C63" s="47">
        <v>396804</v>
      </c>
      <c r="D63" s="33">
        <v>27</v>
      </c>
      <c r="E63" s="26">
        <v>388667</v>
      </c>
      <c r="F63" s="33">
        <v>25</v>
      </c>
      <c r="G63" s="26">
        <f>329816+25716</f>
        <v>355532</v>
      </c>
      <c r="H63" s="33">
        <v>27</v>
      </c>
      <c r="I63" s="26">
        <v>343677</v>
      </c>
      <c r="J63" s="33">
        <v>25</v>
      </c>
      <c r="K63" s="26">
        <v>313855</v>
      </c>
      <c r="M63" s="23"/>
      <c r="N63" s="23"/>
      <c r="O63" s="23"/>
      <c r="P63" s="23"/>
      <c r="Q63" s="23"/>
      <c r="R63" s="30"/>
      <c r="S63" s="22"/>
    </row>
    <row r="64" spans="1:19" ht="14.25">
      <c r="A64" s="34" t="s">
        <v>43</v>
      </c>
      <c r="B64" s="47">
        <v>18</v>
      </c>
      <c r="C64" s="47">
        <v>206427</v>
      </c>
      <c r="D64" s="33">
        <v>14</v>
      </c>
      <c r="E64" s="26">
        <v>190406</v>
      </c>
      <c r="F64" s="33">
        <v>18</v>
      </c>
      <c r="G64" s="26">
        <f>296978+11128</f>
        <v>308106</v>
      </c>
      <c r="H64" s="33">
        <v>21</v>
      </c>
      <c r="I64" s="26">
        <f>192505+2138</f>
        <v>194643</v>
      </c>
      <c r="J64" s="33">
        <v>19</v>
      </c>
      <c r="K64" s="26">
        <v>239693</v>
      </c>
      <c r="M64" s="23"/>
      <c r="N64" s="23"/>
      <c r="O64" s="23"/>
      <c r="P64" s="23"/>
      <c r="Q64" s="23"/>
      <c r="R64" s="30"/>
      <c r="S64" s="22"/>
    </row>
    <row r="65" spans="1:19" ht="14.25">
      <c r="A65" s="34" t="s">
        <v>45</v>
      </c>
      <c r="B65" s="47">
        <v>1009</v>
      </c>
      <c r="C65" s="47">
        <v>9601188</v>
      </c>
      <c r="D65" s="33">
        <v>1009</v>
      </c>
      <c r="E65" s="26">
        <v>9841514</v>
      </c>
      <c r="F65" s="33">
        <v>1063</v>
      </c>
      <c r="G65" s="26">
        <f>10295533+60810</f>
        <v>10356343</v>
      </c>
      <c r="H65" s="33">
        <f>1048+23</f>
        <v>1071</v>
      </c>
      <c r="I65" s="26">
        <f>10646201+95751</f>
        <v>10741952</v>
      </c>
      <c r="J65" s="33">
        <f>1030+13</f>
        <v>1043</v>
      </c>
      <c r="K65" s="26">
        <f>10567390+139477</f>
        <v>10706867</v>
      </c>
      <c r="M65" s="23"/>
      <c r="N65" s="23"/>
      <c r="O65" s="23"/>
      <c r="P65" s="23"/>
      <c r="Q65" s="23"/>
      <c r="R65" s="30"/>
      <c r="S65" s="22"/>
    </row>
    <row r="66" spans="1:19" ht="14.25">
      <c r="A66" s="34" t="s">
        <v>47</v>
      </c>
      <c r="B66" s="47">
        <v>91</v>
      </c>
      <c r="C66" s="47">
        <v>1156167</v>
      </c>
      <c r="D66" s="33">
        <v>99</v>
      </c>
      <c r="E66" s="26">
        <v>1165454</v>
      </c>
      <c r="F66" s="33">
        <v>97</v>
      </c>
      <c r="G66" s="26">
        <v>1257586</v>
      </c>
      <c r="H66" s="33">
        <f>101+7</f>
        <v>108</v>
      </c>
      <c r="I66" s="26">
        <f>1325278+39953</f>
        <v>1365231</v>
      </c>
      <c r="J66" s="33">
        <f>102+6</f>
        <v>108</v>
      </c>
      <c r="K66" s="26">
        <f>1268081+39027</f>
        <v>1307108</v>
      </c>
      <c r="M66" s="23"/>
      <c r="N66" s="23"/>
      <c r="O66" s="23"/>
      <c r="P66" s="23"/>
      <c r="Q66" s="23"/>
      <c r="R66" s="30"/>
      <c r="S66" s="22"/>
    </row>
    <row r="67" spans="1:19" ht="14.25">
      <c r="A67" s="34" t="s">
        <v>49</v>
      </c>
      <c r="B67" s="47">
        <v>3</v>
      </c>
      <c r="C67" s="47">
        <v>16851</v>
      </c>
      <c r="D67" s="33">
        <v>3</v>
      </c>
      <c r="E67" s="26">
        <v>21563</v>
      </c>
      <c r="F67" s="33">
        <v>3</v>
      </c>
      <c r="G67" s="26">
        <v>25615</v>
      </c>
      <c r="H67" s="33">
        <v>2</v>
      </c>
      <c r="I67" s="26">
        <v>22736</v>
      </c>
      <c r="J67" s="33">
        <v>2</v>
      </c>
      <c r="K67" s="26">
        <v>23527</v>
      </c>
      <c r="M67" s="23"/>
      <c r="N67" s="23"/>
      <c r="O67" s="23"/>
      <c r="P67" s="23"/>
      <c r="Q67" s="23"/>
      <c r="R67" s="30"/>
      <c r="S67" s="22"/>
    </row>
    <row r="68" spans="1:19" ht="14.25">
      <c r="A68" s="34" t="s">
        <v>51</v>
      </c>
      <c r="B68" s="47">
        <v>115</v>
      </c>
      <c r="C68" s="47">
        <v>612346</v>
      </c>
      <c r="D68" s="33">
        <v>121</v>
      </c>
      <c r="E68" s="26">
        <v>597186</v>
      </c>
      <c r="F68" s="33">
        <v>131</v>
      </c>
      <c r="G68" s="26">
        <v>671349</v>
      </c>
      <c r="H68" s="33">
        <v>162</v>
      </c>
      <c r="I68" s="26">
        <v>819849</v>
      </c>
      <c r="J68" s="33">
        <f>142+2</f>
        <v>144</v>
      </c>
      <c r="K68" s="26">
        <f>785230+9573</f>
        <v>794803</v>
      </c>
      <c r="M68" s="23"/>
      <c r="N68" s="23"/>
      <c r="O68" s="23"/>
      <c r="P68" s="23"/>
      <c r="Q68" s="23"/>
      <c r="R68" s="30"/>
      <c r="S68" s="22"/>
    </row>
    <row r="69" spans="1:19" ht="14.25">
      <c r="A69" s="34" t="s">
        <v>53</v>
      </c>
      <c r="B69" s="47">
        <v>260</v>
      </c>
      <c r="C69" s="47">
        <v>1804921</v>
      </c>
      <c r="D69" s="33">
        <v>256</v>
      </c>
      <c r="E69" s="26">
        <v>1703211</v>
      </c>
      <c r="F69" s="33">
        <v>256</v>
      </c>
      <c r="G69" s="26">
        <f>1724142+34211</f>
        <v>1758353</v>
      </c>
      <c r="H69" s="33">
        <v>253</v>
      </c>
      <c r="I69" s="26">
        <f>1680554+12002</f>
        <v>1692556</v>
      </c>
      <c r="J69" s="33">
        <f>228+6</f>
        <v>234</v>
      </c>
      <c r="K69" s="26">
        <f>1360586+18694</f>
        <v>1379280</v>
      </c>
      <c r="M69" s="23"/>
      <c r="N69" s="23"/>
      <c r="O69" s="23"/>
      <c r="P69" s="23"/>
      <c r="Q69" s="23"/>
      <c r="R69" s="30"/>
      <c r="S69" s="22"/>
    </row>
    <row r="70" spans="1:19" ht="14.25">
      <c r="A70" s="34" t="s">
        <v>55</v>
      </c>
      <c r="B70" s="47">
        <v>1</v>
      </c>
      <c r="C70" s="47">
        <v>3396</v>
      </c>
      <c r="D70" s="33">
        <v>3</v>
      </c>
      <c r="E70" s="26">
        <v>7569</v>
      </c>
      <c r="F70" s="33">
        <v>3</v>
      </c>
      <c r="G70" s="26">
        <v>12078</v>
      </c>
      <c r="H70" s="33">
        <v>2</v>
      </c>
      <c r="I70" s="26">
        <v>18125</v>
      </c>
      <c r="J70" s="33">
        <v>1</v>
      </c>
      <c r="K70" s="26">
        <v>8144</v>
      </c>
      <c r="M70" s="23"/>
      <c r="N70" s="23"/>
      <c r="O70" s="23"/>
      <c r="P70" s="23"/>
      <c r="Q70" s="23"/>
      <c r="R70" s="30"/>
      <c r="S70" s="22"/>
    </row>
    <row r="71" spans="1:19" ht="14.25">
      <c r="A71" s="34" t="s">
        <v>57</v>
      </c>
      <c r="B71" s="47">
        <v>14</v>
      </c>
      <c r="C71" s="47">
        <v>54975</v>
      </c>
      <c r="D71" s="33">
        <v>14</v>
      </c>
      <c r="E71" s="26">
        <v>69705</v>
      </c>
      <c r="F71" s="33">
        <v>17</v>
      </c>
      <c r="G71" s="26">
        <v>75559</v>
      </c>
      <c r="H71" s="33">
        <v>12</v>
      </c>
      <c r="I71" s="26">
        <v>64702</v>
      </c>
      <c r="J71" s="33">
        <v>13</v>
      </c>
      <c r="K71" s="26">
        <v>66128</v>
      </c>
      <c r="M71" s="23"/>
      <c r="N71" s="23"/>
      <c r="O71" s="23"/>
      <c r="P71" s="23"/>
      <c r="Q71" s="23"/>
      <c r="R71" s="30"/>
      <c r="S71" s="22"/>
    </row>
    <row r="72" spans="1:19" ht="14.25">
      <c r="A72" s="34" t="s">
        <v>59</v>
      </c>
      <c r="B72" s="47">
        <v>643</v>
      </c>
      <c r="C72" s="47">
        <v>2666396</v>
      </c>
      <c r="D72" s="33">
        <v>615</v>
      </c>
      <c r="E72" s="26">
        <v>2567231</v>
      </c>
      <c r="F72" s="33">
        <v>656</v>
      </c>
      <c r="G72" s="26">
        <f>2798404+33896</f>
        <v>2832300</v>
      </c>
      <c r="H72" s="33">
        <v>688</v>
      </c>
      <c r="I72" s="26">
        <v>2978769</v>
      </c>
      <c r="J72" s="33">
        <f>641+37</f>
        <v>678</v>
      </c>
      <c r="K72" s="26">
        <f>2894140+169134</f>
        <v>3063274</v>
      </c>
      <c r="M72" s="23"/>
      <c r="N72" s="23"/>
      <c r="O72" s="23"/>
      <c r="P72" s="23"/>
      <c r="Q72" s="23"/>
      <c r="R72" s="30"/>
      <c r="S72" s="22"/>
    </row>
    <row r="73" spans="1:19" ht="14.25">
      <c r="A73" s="34" t="s">
        <v>61</v>
      </c>
      <c r="B73" s="47">
        <v>613</v>
      </c>
      <c r="C73" s="47">
        <v>2319091</v>
      </c>
      <c r="D73" s="33">
        <v>638</v>
      </c>
      <c r="E73" s="26">
        <v>2417496</v>
      </c>
      <c r="F73" s="33">
        <v>631</v>
      </c>
      <c r="G73" s="26">
        <f>2337166+36040</f>
        <v>2373206</v>
      </c>
      <c r="H73" s="33">
        <v>605</v>
      </c>
      <c r="I73" s="26">
        <v>2306670</v>
      </c>
      <c r="J73" s="33">
        <f>490+7</f>
        <v>497</v>
      </c>
      <c r="K73" s="26">
        <f>1992897+47867</f>
        <v>2040764</v>
      </c>
      <c r="M73" s="23"/>
      <c r="N73" s="23"/>
      <c r="O73" s="23"/>
      <c r="P73" s="23"/>
      <c r="Q73" s="23"/>
      <c r="R73" s="30"/>
      <c r="S73" s="22"/>
    </row>
    <row r="74" spans="1:19" ht="14.25">
      <c r="A74" s="34" t="s">
        <v>63</v>
      </c>
      <c r="B74" s="47">
        <v>174</v>
      </c>
      <c r="C74" s="47">
        <v>695783</v>
      </c>
      <c r="D74" s="33">
        <v>174</v>
      </c>
      <c r="E74" s="26">
        <v>680735</v>
      </c>
      <c r="F74" s="33">
        <v>174</v>
      </c>
      <c r="G74" s="26">
        <f>684063+5428</f>
        <v>689491</v>
      </c>
      <c r="H74" s="33">
        <v>166</v>
      </c>
      <c r="I74" s="26">
        <v>654982</v>
      </c>
      <c r="J74" s="33">
        <f>127+1</f>
        <v>128</v>
      </c>
      <c r="K74" s="26">
        <f>535130+3615</f>
        <v>538745</v>
      </c>
      <c r="M74" s="23"/>
      <c r="N74" s="23"/>
      <c r="O74" s="23"/>
      <c r="P74" s="23"/>
      <c r="Q74" s="23"/>
      <c r="R74" s="30"/>
      <c r="S74" s="22"/>
    </row>
    <row r="75" spans="1:19" ht="14.25">
      <c r="A75" s="34" t="s">
        <v>65</v>
      </c>
      <c r="B75" s="47">
        <v>92</v>
      </c>
      <c r="C75" s="47">
        <v>572816</v>
      </c>
      <c r="D75" s="33">
        <v>88</v>
      </c>
      <c r="E75" s="26">
        <v>504027</v>
      </c>
      <c r="F75" s="33">
        <v>82</v>
      </c>
      <c r="G75" s="26">
        <f>473532+30029</f>
        <v>503561</v>
      </c>
      <c r="H75" s="33">
        <v>85</v>
      </c>
      <c r="I75" s="26">
        <f>427285+25306</f>
        <v>452591</v>
      </c>
      <c r="J75" s="33">
        <f>71+2</f>
        <v>73</v>
      </c>
      <c r="K75" s="26">
        <f>379856+4330</f>
        <v>384186</v>
      </c>
      <c r="M75" s="23"/>
      <c r="N75" s="23"/>
      <c r="O75" s="23"/>
      <c r="P75" s="23"/>
      <c r="Q75" s="23"/>
      <c r="R75" s="30"/>
      <c r="S75" s="22"/>
    </row>
    <row r="76" spans="1:19" ht="14.25">
      <c r="A76" s="34" t="s">
        <v>66</v>
      </c>
      <c r="B76" s="47">
        <v>1187</v>
      </c>
      <c r="C76" s="47">
        <v>6032227</v>
      </c>
      <c r="D76" s="33">
        <v>1172</v>
      </c>
      <c r="E76" s="26">
        <v>5901730</v>
      </c>
      <c r="F76" s="33">
        <v>1266</v>
      </c>
      <c r="G76" s="26">
        <v>6509629</v>
      </c>
      <c r="H76" s="33">
        <f>1224+30</f>
        <v>1254</v>
      </c>
      <c r="I76" s="26">
        <f>6060804+94234</f>
        <v>6155038</v>
      </c>
      <c r="J76" s="33">
        <f>983+37</f>
        <v>1020</v>
      </c>
      <c r="K76" s="26">
        <f>4841416+138914</f>
        <v>4980330</v>
      </c>
      <c r="M76" s="23"/>
      <c r="N76" s="23"/>
      <c r="O76" s="23"/>
      <c r="P76" s="23"/>
      <c r="Q76" s="23"/>
      <c r="R76" s="30"/>
      <c r="S76" s="22"/>
    </row>
    <row r="77" spans="1:19" ht="14.25">
      <c r="A77" s="34" t="s">
        <v>68</v>
      </c>
      <c r="B77" s="47">
        <v>20</v>
      </c>
      <c r="C77" s="47">
        <v>114004</v>
      </c>
      <c r="D77" s="33">
        <v>20</v>
      </c>
      <c r="E77" s="26">
        <v>144658</v>
      </c>
      <c r="F77" s="33">
        <v>29</v>
      </c>
      <c r="G77" s="26">
        <f>253386+1468</f>
        <v>254854</v>
      </c>
      <c r="H77" s="33">
        <v>20</v>
      </c>
      <c r="I77" s="26">
        <f>111851+10131</f>
        <v>121982</v>
      </c>
      <c r="J77" s="33">
        <f>16+2</f>
        <v>18</v>
      </c>
      <c r="K77" s="26">
        <f>92488+5911</f>
        <v>98399</v>
      </c>
      <c r="M77" s="23"/>
      <c r="N77" s="23"/>
      <c r="O77" s="23"/>
      <c r="P77" s="23"/>
      <c r="Q77" s="23"/>
      <c r="R77" s="30"/>
      <c r="S77" s="22"/>
    </row>
    <row r="78" spans="1:19" ht="14.25">
      <c r="A78" s="34" t="s">
        <v>70</v>
      </c>
      <c r="B78" s="47">
        <v>229</v>
      </c>
      <c r="C78" s="47">
        <v>1092888</v>
      </c>
      <c r="D78" s="33">
        <v>257</v>
      </c>
      <c r="E78" s="26">
        <v>1280396</v>
      </c>
      <c r="F78" s="33">
        <v>306</v>
      </c>
      <c r="G78" s="26">
        <f>1449764+48408</f>
        <v>1498172</v>
      </c>
      <c r="H78" s="33">
        <v>305</v>
      </c>
      <c r="I78" s="26">
        <f>1471508+8697</f>
        <v>1480205</v>
      </c>
      <c r="J78" s="33">
        <f>270+19</f>
        <v>289</v>
      </c>
      <c r="K78" s="26">
        <f>1331305+67040</f>
        <v>1398345</v>
      </c>
      <c r="M78" s="23"/>
      <c r="N78" s="23"/>
      <c r="O78" s="23"/>
      <c r="P78" s="23"/>
      <c r="Q78" s="23"/>
      <c r="R78" s="30"/>
      <c r="S78" s="22"/>
    </row>
    <row r="79" spans="1:19" ht="14.25">
      <c r="A79" s="34" t="s">
        <v>72</v>
      </c>
      <c r="B79" s="47">
        <v>355</v>
      </c>
      <c r="C79" s="47">
        <v>1601221</v>
      </c>
      <c r="D79" s="33">
        <v>353</v>
      </c>
      <c r="E79" s="26">
        <v>1584482</v>
      </c>
      <c r="F79" s="33">
        <v>345</v>
      </c>
      <c r="G79" s="26">
        <f>1541967+16526</f>
        <v>1558493</v>
      </c>
      <c r="H79" s="33">
        <v>331</v>
      </c>
      <c r="I79" s="26">
        <f>1436035+31172</f>
        <v>1467207</v>
      </c>
      <c r="J79" s="33">
        <f>290+12</f>
        <v>302</v>
      </c>
      <c r="K79" s="26">
        <f>1358772+41619</f>
        <v>1400391</v>
      </c>
      <c r="M79" s="23"/>
      <c r="N79" s="23"/>
      <c r="O79" s="23"/>
      <c r="P79" s="23"/>
      <c r="Q79" s="23"/>
      <c r="R79" s="30"/>
      <c r="S79" s="22"/>
    </row>
    <row r="80" spans="1:19" ht="14.25">
      <c r="A80" s="34" t="s">
        <v>74</v>
      </c>
      <c r="B80" s="47">
        <v>20</v>
      </c>
      <c r="C80" s="47">
        <v>79530</v>
      </c>
      <c r="D80" s="33">
        <v>23</v>
      </c>
      <c r="E80" s="26">
        <v>91967</v>
      </c>
      <c r="F80" s="33">
        <v>17</v>
      </c>
      <c r="G80" s="26">
        <v>65879</v>
      </c>
      <c r="H80" s="33">
        <v>21</v>
      </c>
      <c r="I80" s="26">
        <f>70585+10325</f>
        <v>80910</v>
      </c>
      <c r="J80" s="33">
        <f>11+1</f>
        <v>12</v>
      </c>
      <c r="K80" s="26">
        <f>52234+4221</f>
        <v>56455</v>
      </c>
      <c r="M80" s="23"/>
      <c r="N80" s="23"/>
      <c r="O80" s="23"/>
      <c r="P80" s="23"/>
      <c r="Q80" s="23"/>
      <c r="R80" s="30"/>
      <c r="S80" s="22"/>
    </row>
    <row r="81" spans="1:19" ht="14.25">
      <c r="A81" s="34" t="s">
        <v>76</v>
      </c>
      <c r="B81" s="47">
        <v>6</v>
      </c>
      <c r="C81" s="47">
        <v>34478</v>
      </c>
      <c r="D81" s="33">
        <v>7</v>
      </c>
      <c r="E81" s="26">
        <v>38845</v>
      </c>
      <c r="F81" s="33">
        <v>5</v>
      </c>
      <c r="G81" s="26">
        <v>33755</v>
      </c>
      <c r="H81" s="33">
        <v>5</v>
      </c>
      <c r="I81" s="26">
        <v>29786</v>
      </c>
      <c r="J81" s="33">
        <v>5</v>
      </c>
      <c r="K81" s="26">
        <v>22016</v>
      </c>
      <c r="M81" s="23"/>
      <c r="N81" s="23"/>
      <c r="O81" s="23"/>
      <c r="P81" s="23"/>
      <c r="Q81" s="23"/>
      <c r="R81" s="30"/>
      <c r="S81" s="22"/>
    </row>
    <row r="82" spans="1:19" ht="14.25">
      <c r="A82" s="38" t="s">
        <v>78</v>
      </c>
      <c r="B82" s="49"/>
      <c r="C82" s="49"/>
      <c r="D82" s="32"/>
      <c r="E82" s="25"/>
      <c r="F82" s="32"/>
      <c r="G82" s="25"/>
      <c r="H82" s="32"/>
      <c r="I82" s="25"/>
      <c r="K82" s="25"/>
      <c r="M82" s="23"/>
      <c r="N82" s="23"/>
      <c r="O82" s="23"/>
      <c r="P82" s="23"/>
      <c r="Q82" s="23"/>
      <c r="R82" s="30"/>
      <c r="S82" s="22"/>
    </row>
    <row r="83" spans="1:19" ht="14.25">
      <c r="A83" s="32" t="s">
        <v>79</v>
      </c>
      <c r="B83" s="47">
        <v>59</v>
      </c>
      <c r="C83" s="47">
        <v>289392</v>
      </c>
      <c r="D83" s="33">
        <v>66</v>
      </c>
      <c r="E83" s="26">
        <v>325287</v>
      </c>
      <c r="F83" s="33">
        <v>60</v>
      </c>
      <c r="G83" s="26">
        <f>289824+9847</f>
        <v>299671</v>
      </c>
      <c r="H83" s="33">
        <v>60</v>
      </c>
      <c r="I83" s="26">
        <v>311040</v>
      </c>
      <c r="J83" s="39">
        <v>58</v>
      </c>
      <c r="K83" s="26">
        <v>296620</v>
      </c>
      <c r="M83" s="23"/>
      <c r="N83" s="23"/>
      <c r="O83" s="23"/>
      <c r="P83" s="23"/>
      <c r="Q83" s="23"/>
      <c r="R83" s="30"/>
      <c r="S83" s="22"/>
    </row>
    <row r="84" spans="1:19" ht="14.25">
      <c r="A84" s="38" t="s">
        <v>80</v>
      </c>
      <c r="B84" s="49"/>
      <c r="C84" s="49"/>
      <c r="D84" s="32"/>
      <c r="E84" s="25"/>
      <c r="F84" s="32"/>
      <c r="G84" s="25"/>
      <c r="H84" s="32"/>
      <c r="I84" s="25"/>
      <c r="J84" s="32"/>
      <c r="K84" s="25"/>
      <c r="M84" s="23"/>
      <c r="N84" s="23"/>
      <c r="O84" s="23"/>
      <c r="P84" s="23"/>
      <c r="Q84" s="23"/>
      <c r="R84" s="30"/>
      <c r="S84" s="22"/>
    </row>
    <row r="85" spans="1:19" ht="14.25">
      <c r="A85" s="15" t="s">
        <v>82</v>
      </c>
      <c r="B85" s="50">
        <v>3</v>
      </c>
      <c r="C85" s="50">
        <v>14624</v>
      </c>
      <c r="D85" s="16">
        <v>2</v>
      </c>
      <c r="E85" s="26">
        <v>13025</v>
      </c>
      <c r="F85" s="16">
        <v>3</v>
      </c>
      <c r="G85" s="17">
        <v>16198</v>
      </c>
      <c r="H85" s="16">
        <v>4</v>
      </c>
      <c r="I85" s="17">
        <v>33555</v>
      </c>
      <c r="J85" s="16">
        <v>4</v>
      </c>
      <c r="K85" s="17">
        <v>38644</v>
      </c>
      <c r="M85" s="23"/>
      <c r="N85" s="23"/>
      <c r="O85" s="23"/>
      <c r="P85" s="23"/>
      <c r="Q85" s="23"/>
      <c r="R85" s="30"/>
      <c r="S85" s="22"/>
    </row>
    <row r="86" spans="1:19" ht="14.25">
      <c r="A86" s="8" t="s">
        <v>83</v>
      </c>
      <c r="B86" s="51">
        <v>120</v>
      </c>
      <c r="C86" s="51">
        <v>708755</v>
      </c>
      <c r="D86" s="20">
        <v>111</v>
      </c>
      <c r="E86" s="27">
        <v>695023</v>
      </c>
      <c r="F86" s="20">
        <v>119</v>
      </c>
      <c r="G86" s="21">
        <f>719716+151797</f>
        <v>871513</v>
      </c>
      <c r="H86" s="20">
        <v>132</v>
      </c>
      <c r="I86" s="21">
        <v>862568</v>
      </c>
      <c r="J86" s="20">
        <f>123+4</f>
        <v>127</v>
      </c>
      <c r="K86" s="21">
        <f>845471+9201</f>
        <v>854672</v>
      </c>
      <c r="M86" s="23"/>
      <c r="N86" s="23"/>
      <c r="O86" s="23"/>
      <c r="P86" s="23"/>
      <c r="Q86" s="23"/>
      <c r="R86" s="30"/>
      <c r="S86" s="22"/>
    </row>
    <row r="87" spans="1:19" ht="14.25">
      <c r="A87" s="10"/>
      <c r="B87" s="10"/>
      <c r="C87" s="10"/>
      <c r="D87" s="10"/>
      <c r="E87" s="25"/>
      <c r="F87" s="10"/>
      <c r="G87" s="14"/>
      <c r="H87" s="10"/>
      <c r="I87" s="14"/>
      <c r="J87" s="10"/>
      <c r="K87" s="14"/>
      <c r="M87" s="23"/>
      <c r="N87" s="23"/>
      <c r="O87" s="23"/>
      <c r="P87" s="23"/>
      <c r="Q87" s="23"/>
      <c r="R87" s="30"/>
      <c r="S87" s="22"/>
    </row>
    <row r="88" spans="1:19" ht="14.25">
      <c r="A88" s="8" t="s">
        <v>18</v>
      </c>
      <c r="B88" s="18">
        <f aca="true" t="shared" si="2" ref="B88:G88">SUM(B54:B86)</f>
        <v>7249</v>
      </c>
      <c r="C88" s="18">
        <f t="shared" si="2"/>
        <v>49202571</v>
      </c>
      <c r="D88" s="18">
        <f t="shared" si="2"/>
        <v>7348</v>
      </c>
      <c r="E88" s="28">
        <f t="shared" si="2"/>
        <v>51049495</v>
      </c>
      <c r="F88" s="18">
        <f t="shared" si="2"/>
        <v>7605</v>
      </c>
      <c r="G88" s="19">
        <f t="shared" si="2"/>
        <v>53173159</v>
      </c>
      <c r="H88" s="18">
        <f>SUM(H54:H86)</f>
        <v>7642</v>
      </c>
      <c r="I88" s="19">
        <f>SUM(I54:I86)</f>
        <v>52167004</v>
      </c>
      <c r="J88" s="18">
        <f>SUM(J54:J86)</f>
        <v>6909</v>
      </c>
      <c r="K88" s="19">
        <f>SUM(K54:K86)</f>
        <v>48556164</v>
      </c>
      <c r="M88" s="23"/>
      <c r="N88" s="23"/>
      <c r="O88" s="23"/>
      <c r="P88" s="23"/>
      <c r="Q88" s="23"/>
      <c r="R88" s="30"/>
      <c r="S88" s="22"/>
    </row>
    <row r="89" spans="1:19" ht="14.25">
      <c r="A89" s="10"/>
      <c r="B89" s="10"/>
      <c r="C89" s="10"/>
      <c r="D89" s="10"/>
      <c r="E89" s="25"/>
      <c r="F89" s="10"/>
      <c r="G89" s="14"/>
      <c r="H89" s="10"/>
      <c r="I89" s="14"/>
      <c r="J89" s="10"/>
      <c r="K89" s="14"/>
      <c r="M89" s="23"/>
      <c r="N89" s="23"/>
      <c r="O89" s="23"/>
      <c r="P89" s="23"/>
      <c r="Q89" s="23"/>
      <c r="R89" s="30"/>
      <c r="S89" s="22"/>
    </row>
    <row r="90" spans="1:19" ht="14.25">
      <c r="A90" s="8" t="s">
        <v>84</v>
      </c>
      <c r="B90" s="18">
        <f aca="true" t="shared" si="3" ref="B90:K90">SUM(B44,B51,B88)</f>
        <v>49866</v>
      </c>
      <c r="C90" s="18">
        <f t="shared" si="3"/>
        <v>268516301</v>
      </c>
      <c r="D90" s="18">
        <f t="shared" si="3"/>
        <v>50119</v>
      </c>
      <c r="E90" s="28">
        <f t="shared" si="3"/>
        <v>271157448</v>
      </c>
      <c r="F90" s="18">
        <f t="shared" si="3"/>
        <v>51678</v>
      </c>
      <c r="G90" s="19">
        <f t="shared" si="3"/>
        <v>284340913</v>
      </c>
      <c r="H90" s="18">
        <f t="shared" si="3"/>
        <v>50725</v>
      </c>
      <c r="I90" s="19">
        <f t="shared" si="3"/>
        <v>280736405</v>
      </c>
      <c r="J90" s="18">
        <f t="shared" si="3"/>
        <v>43804</v>
      </c>
      <c r="K90" s="19">
        <f t="shared" si="3"/>
        <v>250532447</v>
      </c>
      <c r="M90" s="23"/>
      <c r="N90" s="23"/>
      <c r="O90" s="23"/>
      <c r="P90" s="23"/>
      <c r="Q90" s="23"/>
      <c r="R90" s="30"/>
      <c r="S90" s="22"/>
    </row>
    <row r="91" spans="1:19" ht="14.25">
      <c r="A91" s="1" t="s">
        <v>81</v>
      </c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30"/>
      <c r="S91" s="22"/>
    </row>
    <row r="92" spans="1:19" ht="14.2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30"/>
      <c r="S92" s="22"/>
    </row>
    <row r="93" spans="1:19" ht="14.2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30"/>
      <c r="S93" s="22"/>
    </row>
    <row r="94" spans="1:19" ht="14.2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30"/>
      <c r="S94" s="22"/>
    </row>
    <row r="95" spans="1:19" ht="14.2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30"/>
      <c r="S95" s="22"/>
    </row>
    <row r="96" spans="1:19" ht="14.2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30"/>
      <c r="S96" s="22"/>
    </row>
    <row r="97" spans="1:19" ht="14.2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30"/>
      <c r="S97" s="22"/>
    </row>
    <row r="98" spans="1:19" ht="14.2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30"/>
      <c r="S98" s="22"/>
    </row>
    <row r="99" spans="1:19" ht="14.2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30"/>
      <c r="S99" s="22"/>
    </row>
    <row r="100" spans="1:19" ht="14.2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30"/>
      <c r="S100" s="22"/>
    </row>
    <row r="101" spans="1:19" ht="14.2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30"/>
      <c r="S101" s="22"/>
    </row>
  </sheetData>
  <printOptions/>
  <pageMargins left="0.5905511811023623" right="0.5905511811023623" top="0.69" bottom="0.5905511811023623" header="0" footer="0"/>
  <pageSetup horizontalDpi="240" verticalDpi="240" orientation="portrait" paperSize="9" scale="45" r:id="rId1"/>
  <colBreaks count="1" manualBreakCount="1">
    <brk id="16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電算第１係</dc:creator>
  <cp:keywords/>
  <dc:description/>
  <cp:lastModifiedBy>調査統計課（７）</cp:lastModifiedBy>
  <cp:lastPrinted>2001-10-26T00:48:12Z</cp:lastPrinted>
  <dcterms:created xsi:type="dcterms:W3CDTF">1997-11-25T11:18:02Z</dcterms:created>
  <dcterms:modified xsi:type="dcterms:W3CDTF">2001-12-21T03:09:02Z</dcterms:modified>
  <cp:category/>
  <cp:version/>
  <cp:contentType/>
  <cp:contentStatus/>
</cp:coreProperties>
</file>