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105" windowWidth="5280" windowHeight="6705" tabRatio="868" activeTab="10"/>
  </bookViews>
  <sheets>
    <sheet name="Sheet1" sheetId="1" r:id="rId1"/>
    <sheet name="うんしゅうみかん" sheetId="2" r:id="rId2"/>
    <sheet name="りんご" sheetId="3" r:id="rId3"/>
    <sheet name="ぶどう" sheetId="4" r:id="rId4"/>
    <sheet name="なし" sheetId="5" r:id="rId5"/>
    <sheet name="もも" sheetId="6" r:id="rId6"/>
    <sheet name="すもも" sheetId="7" r:id="rId7"/>
    <sheet name="おうとう" sheetId="8" r:id="rId8"/>
    <sheet name="うめ" sheetId="9" r:id="rId9"/>
    <sheet name="びわ" sheetId="10" r:id="rId10"/>
    <sheet name="かき" sheetId="11" r:id="rId11"/>
    <sheet name="くり" sheetId="12" r:id="rId12"/>
    <sheet name="ｷｳｲﾌﾙｰﾂ" sheetId="13" r:id="rId13"/>
  </sheets>
  <definedNames>
    <definedName name="\A" localSheetId="1">'うんしゅうみかん'!#REF!</definedName>
    <definedName name="\A" localSheetId="7">'おうとう'!#REF!</definedName>
    <definedName name="\A" localSheetId="10">'かき'!#REF!</definedName>
    <definedName name="\A" localSheetId="12">'ｷｳｲﾌﾙｰﾂ'!#REF!</definedName>
    <definedName name="\A" localSheetId="11">'くり'!#REF!</definedName>
    <definedName name="\A" localSheetId="6">'すもも'!#REF!</definedName>
    <definedName name="\A" localSheetId="4">'なし'!#REF!</definedName>
    <definedName name="\A" localSheetId="9">'びわ'!#REF!</definedName>
    <definedName name="\A" localSheetId="3">'ぶどう'!#REF!</definedName>
    <definedName name="\A" localSheetId="5">'もも'!#REF!</definedName>
    <definedName name="\A" localSheetId="2">'りんご'!#REF!</definedName>
    <definedName name="\A">#REF!</definedName>
    <definedName name="_xlnm.Print_Area" localSheetId="8">'うめ'!$A$1:$T$28</definedName>
    <definedName name="_xlnm.Print_Area" localSheetId="1">'うんしゅうみかん'!$A$1:$AI$29</definedName>
    <definedName name="_xlnm.Print_Area" localSheetId="7">'おうとう'!$A$1:$L$10</definedName>
    <definedName name="_xlnm.Print_Area" localSheetId="10">'かき'!$A$2:$U$32</definedName>
    <definedName name="_xlnm.Print_Area" localSheetId="12">'ｷｳｲﾌﾙｰﾂ'!$A$1:$M$31</definedName>
    <definedName name="_xlnm.Print_Area" localSheetId="11">'くり'!$A$1:$V$28</definedName>
    <definedName name="_xlnm.Print_Area" localSheetId="6">'すもも'!$B$1:$Q$27</definedName>
    <definedName name="_xlnm.Print_Area" localSheetId="4">'なし'!$A$1:$T$32</definedName>
    <definedName name="_xlnm.Print_Area" localSheetId="9">'びわ'!$A$2:$Q$18</definedName>
    <definedName name="_xlnm.Print_Area" localSheetId="3">'ぶどう'!$A$1:$AD$42</definedName>
    <definedName name="_xlnm.Print_Area" localSheetId="5">'もも'!$A$1:$AE$29</definedName>
    <definedName name="_xlnm.Print_Area" localSheetId="2">'りんご'!$A$1:$W$19</definedName>
    <definedName name="_xlnm.Print_Titles" localSheetId="3">'ぶどう'!$3:$6</definedName>
    <definedName name="_xlnm.Print_Titles" localSheetId="5">'もも'!$5:$7</definedName>
    <definedName name="_xlnm.Print_Titles" localSheetId="2">'りんご'!$5:$7</definedName>
  </definedNames>
  <calcPr fullCalcOnLoad="1"/>
</workbook>
</file>

<file path=xl/comments3.xml><?xml version="1.0" encoding="utf-8"?>
<comments xmlns="http://schemas.openxmlformats.org/spreadsheetml/2006/main">
  <authors>
    <author>福岡県</author>
  </authors>
  <commentList>
    <comment ref="U8" authorId="0">
      <text>
        <r>
          <rPr>
            <b/>
            <sz val="16"/>
            <rFont val="ＭＳ Ｐゴシック"/>
            <family val="3"/>
          </rPr>
          <t>R1の収穫量／栽培面積＊R2栽培面積</t>
        </r>
      </text>
    </comment>
  </commentList>
</comments>
</file>

<file path=xl/comments4.xml><?xml version="1.0" encoding="utf-8"?>
<comments xmlns="http://schemas.openxmlformats.org/spreadsheetml/2006/main">
  <authors>
    <author>福岡県</author>
  </authors>
  <commentList>
    <comment ref="W6" authorId="0">
      <text>
        <r>
          <rPr>
            <b/>
            <sz val="14"/>
            <rFont val="ＭＳ Ｐゴシック"/>
            <family val="3"/>
          </rPr>
          <t>マスカットベリーＡ＝ニューベリーＡ＋ﾍﾞﾘｰＡ
ニューベリーＡはマスカットベリーＡを無核栽培したもの</t>
        </r>
      </text>
    </comment>
  </commentList>
</comments>
</file>

<file path=xl/comments7.xml><?xml version="1.0" encoding="utf-8"?>
<comments xmlns="http://schemas.openxmlformats.org/spreadsheetml/2006/main">
  <authors>
    <author>福岡県</author>
  </authors>
  <commentList>
    <comment ref="H16" authorId="0">
      <text>
        <r>
          <rPr>
            <b/>
            <sz val="16"/>
            <rFont val="ＭＳ Ｐゴシック"/>
            <family val="3"/>
          </rPr>
          <t>過去に実績がないので、報告値を採用</t>
        </r>
      </text>
    </comment>
  </commentList>
</comments>
</file>

<file path=xl/sharedStrings.xml><?xml version="1.0" encoding="utf-8"?>
<sst xmlns="http://schemas.openxmlformats.org/spreadsheetml/2006/main" count="736" uniqueCount="307">
  <si>
    <t>市町村</t>
  </si>
  <si>
    <t>筑波</t>
  </si>
  <si>
    <t>丹沢</t>
  </si>
  <si>
    <t>伊吹</t>
  </si>
  <si>
    <t>国見</t>
  </si>
  <si>
    <t>銀寄</t>
  </si>
  <si>
    <t>小計</t>
  </si>
  <si>
    <t>森早生</t>
  </si>
  <si>
    <t>銀鈴</t>
  </si>
  <si>
    <t>丹波</t>
  </si>
  <si>
    <t>玉英</t>
  </si>
  <si>
    <t>南高</t>
  </si>
  <si>
    <t>白加賀</t>
  </si>
  <si>
    <t>豊後</t>
  </si>
  <si>
    <t>古城</t>
  </si>
  <si>
    <t>小梅</t>
  </si>
  <si>
    <t>光陽</t>
  </si>
  <si>
    <t>大石中生</t>
  </si>
  <si>
    <t>極　　　　　　　早　　　　　　　生</t>
  </si>
  <si>
    <t>早　　　生</t>
  </si>
  <si>
    <t>その他</t>
  </si>
  <si>
    <t>普　　通</t>
  </si>
  <si>
    <t>晩　　生</t>
  </si>
  <si>
    <t>品種登録がされていないもの</t>
  </si>
  <si>
    <t>品種登録が済んでいるもの</t>
  </si>
  <si>
    <t>普通</t>
  </si>
  <si>
    <t>小計</t>
  </si>
  <si>
    <t>中生</t>
  </si>
  <si>
    <t>早生</t>
  </si>
  <si>
    <t>晩生</t>
  </si>
  <si>
    <t>大粒・黒</t>
  </si>
  <si>
    <t>大粒・白</t>
  </si>
  <si>
    <t>小粒</t>
  </si>
  <si>
    <t>中粒</t>
  </si>
  <si>
    <t>早生・赤</t>
  </si>
  <si>
    <t>中生・赤</t>
  </si>
  <si>
    <t>中生・青</t>
  </si>
  <si>
    <t>晩生・赤</t>
  </si>
  <si>
    <t>雌</t>
  </si>
  <si>
    <t>雄</t>
  </si>
  <si>
    <t>極早生</t>
  </si>
  <si>
    <t>秋映</t>
  </si>
  <si>
    <t>石地</t>
  </si>
  <si>
    <t>甲斐路</t>
  </si>
  <si>
    <t>嶺鳳</t>
  </si>
  <si>
    <t>太秋</t>
  </si>
  <si>
    <t>愛宕</t>
  </si>
  <si>
    <t>岸根</t>
  </si>
  <si>
    <t>石鎚</t>
  </si>
  <si>
    <t>合計</t>
  </si>
  <si>
    <t>幸水</t>
  </si>
  <si>
    <t>新水</t>
  </si>
  <si>
    <t>豊水</t>
  </si>
  <si>
    <t>新高</t>
  </si>
  <si>
    <t>新興</t>
  </si>
  <si>
    <t>二十世紀</t>
  </si>
  <si>
    <t>菊水</t>
  </si>
  <si>
    <t>白鳳</t>
  </si>
  <si>
    <t>白桃</t>
  </si>
  <si>
    <t>伊豆</t>
  </si>
  <si>
    <t>次郎</t>
  </si>
  <si>
    <t>富有</t>
  </si>
  <si>
    <t>川底</t>
  </si>
  <si>
    <t>平核無</t>
  </si>
  <si>
    <t>葉隠</t>
  </si>
  <si>
    <t>貴陽</t>
  </si>
  <si>
    <t>早秋</t>
  </si>
  <si>
    <t>日南
１号Ｎ</t>
  </si>
  <si>
    <t>中　　生</t>
  </si>
  <si>
    <t>新
世界</t>
  </si>
  <si>
    <t>ぐんま
名月</t>
  </si>
  <si>
    <t>ｱﾙﾌﾟｽ
乙女</t>
  </si>
  <si>
    <t>安芸
ｸｲｰﾝ</t>
  </si>
  <si>
    <t>博多
ﾎﾜｲﾄ</t>
  </si>
  <si>
    <t>南水</t>
  </si>
  <si>
    <t>おさ
二十世紀</t>
  </si>
  <si>
    <t>品種登録が
済んでいるもの</t>
  </si>
  <si>
    <t>勘助
白桃</t>
  </si>
  <si>
    <t>日川
白鳳</t>
  </si>
  <si>
    <t>長沢
白鳳</t>
  </si>
  <si>
    <t>早 　　生</t>
  </si>
  <si>
    <t>八幡
白鳳</t>
  </si>
  <si>
    <t>志賀
白桃</t>
  </si>
  <si>
    <t>清水
白桃</t>
  </si>
  <si>
    <t>宮本
早生</t>
  </si>
  <si>
    <t>上野
早生</t>
  </si>
  <si>
    <t>山川
早生</t>
  </si>
  <si>
    <t>日南
１号</t>
  </si>
  <si>
    <t>ゆら
早生</t>
  </si>
  <si>
    <t>山下紅
早生</t>
  </si>
  <si>
    <t>小原紅　
早生</t>
  </si>
  <si>
    <t>田口
早生</t>
  </si>
  <si>
    <t>岩崎
早生</t>
  </si>
  <si>
    <t>興津
早生</t>
  </si>
  <si>
    <t>宮川
早生</t>
  </si>
  <si>
    <t>原口
早生</t>
  </si>
  <si>
    <t>杉山
温州</t>
  </si>
  <si>
    <t>清水４号
（青島４号）</t>
  </si>
  <si>
    <t>大津
４号</t>
  </si>
  <si>
    <t>南柑
４号</t>
  </si>
  <si>
    <t>林
温州</t>
  </si>
  <si>
    <t>青島
温州</t>
  </si>
  <si>
    <t>今村
温州</t>
  </si>
  <si>
    <t>刀根
早生</t>
  </si>
  <si>
    <t>松本早
生富有</t>
  </si>
  <si>
    <t>西村
早生</t>
  </si>
  <si>
    <t>甘　　柿</t>
  </si>
  <si>
    <t>渋　柿</t>
  </si>
  <si>
    <t>甘　柿</t>
  </si>
  <si>
    <t>晩　生</t>
  </si>
  <si>
    <r>
      <t>加納岩</t>
    </r>
    <r>
      <rPr>
        <sz val="20"/>
        <rFont val="ＭＳ Ｐゴシック"/>
        <family val="3"/>
      </rPr>
      <t xml:space="preserve">
白桃</t>
    </r>
  </si>
  <si>
    <r>
      <t>みさか</t>
    </r>
    <r>
      <rPr>
        <sz val="20"/>
        <rFont val="ＭＳ Ｐゴシック"/>
        <family val="3"/>
      </rPr>
      <t xml:space="preserve">
白鳳</t>
    </r>
  </si>
  <si>
    <r>
      <t xml:space="preserve">玉梅
</t>
    </r>
    <r>
      <rPr>
        <sz val="14"/>
        <rFont val="ＭＳ Ｐゴシック"/>
        <family val="3"/>
      </rPr>
      <t>（青軸）</t>
    </r>
  </si>
  <si>
    <t>湯川</t>
  </si>
  <si>
    <t>瀬戸ｼﾞｬ
ｲｱﾝﾂ</t>
  </si>
  <si>
    <t>日南
の姫</t>
  </si>
  <si>
    <t>王秋</t>
  </si>
  <si>
    <t>津雲</t>
  </si>
  <si>
    <t>栽培面積</t>
  </si>
  <si>
    <t>収穫量</t>
  </si>
  <si>
    <t>出荷量</t>
  </si>
  <si>
    <t>翠峰</t>
  </si>
  <si>
    <t>赤宝</t>
  </si>
  <si>
    <t>北原
早生</t>
  </si>
  <si>
    <t>福岡
３号</t>
  </si>
  <si>
    <t>福岡
４号</t>
  </si>
  <si>
    <t>　びわ</t>
  </si>
  <si>
    <t>具体的な
品種名</t>
  </si>
  <si>
    <t>うち無核</t>
  </si>
  <si>
    <t>利平
ぐり</t>
  </si>
  <si>
    <r>
      <rPr>
        <sz val="16"/>
        <rFont val="ＭＳ Ｐゴシック"/>
        <family val="3"/>
      </rPr>
      <t>福岡K1号</t>
    </r>
    <r>
      <rPr>
        <sz val="18"/>
        <rFont val="ＭＳ Ｐゴシック"/>
        <family val="3"/>
      </rPr>
      <t xml:space="preserve">
（秋王）</t>
    </r>
  </si>
  <si>
    <t>伊豆錦</t>
  </si>
  <si>
    <t>藤稔</t>
  </si>
  <si>
    <t>巨峰</t>
  </si>
  <si>
    <t>ｈａ</t>
  </si>
  <si>
    <t>トン</t>
  </si>
  <si>
    <t>極　　　早　　　生</t>
  </si>
  <si>
    <t>その他
具体的な品種名</t>
  </si>
  <si>
    <t>ｈａ</t>
  </si>
  <si>
    <t>トン</t>
  </si>
  <si>
    <t>その他</t>
  </si>
  <si>
    <t>シナノ
ドルチェ</t>
  </si>
  <si>
    <t>千秋</t>
  </si>
  <si>
    <t>陽光</t>
  </si>
  <si>
    <t>ひめ
かみ</t>
  </si>
  <si>
    <t>ｼﾅﾉ
ｽｲｰﾄ</t>
  </si>
  <si>
    <t>つがる</t>
  </si>
  <si>
    <t>あかぎ</t>
  </si>
  <si>
    <t>ｼﾞｮﾅ
ｺﾞｰﾙﾄﾞ</t>
  </si>
  <si>
    <t>ふじ</t>
  </si>
  <si>
    <t>王林</t>
  </si>
  <si>
    <t>ｈａ</t>
  </si>
  <si>
    <t>トン</t>
  </si>
  <si>
    <t>その他</t>
  </si>
  <si>
    <t>ブラックビート</t>
  </si>
  <si>
    <t>ﾛｻﾞﾘｵ
ﾋﾞｱﾝｺ</t>
  </si>
  <si>
    <t>シャイン
マスカット</t>
  </si>
  <si>
    <t>ハニー
ビーナス</t>
  </si>
  <si>
    <t>サニー
ルージュ</t>
  </si>
  <si>
    <t>ﾋﾟｵｰﾈ</t>
  </si>
  <si>
    <t>ﾏｽｶｯﾄｵﾌﾞ
ｱﾚｷｻﾝﾄﾞﾘｱ</t>
  </si>
  <si>
    <t>ｷｬﾝﾍﾞﾙ
ｱｰﾘｰ</t>
  </si>
  <si>
    <t>ﾈｵ
ﾏｽｶｯﾄ</t>
  </si>
  <si>
    <t>マスカットベリーＡ</t>
  </si>
  <si>
    <t>ﾃﾞﾗｳｴｱ</t>
  </si>
  <si>
    <t>ニューベリーＡ</t>
  </si>
  <si>
    <t>あきづき</t>
  </si>
  <si>
    <t>ちよ
ひめ</t>
  </si>
  <si>
    <t>はな
よめ</t>
  </si>
  <si>
    <t>なつき</t>
  </si>
  <si>
    <t>ふく
えくぼ</t>
  </si>
  <si>
    <t>なつ
おとめ</t>
  </si>
  <si>
    <t>なつっこ</t>
  </si>
  <si>
    <t>あか
つき</t>
  </si>
  <si>
    <t>千曲</t>
  </si>
  <si>
    <t>サマー
エンジェル</t>
  </si>
  <si>
    <t>大石早生
すもも</t>
  </si>
  <si>
    <t>ｻﾝﾀﾛｰｻﾞ</t>
  </si>
  <si>
    <t>ｿﾙﾀﾞﾑ</t>
  </si>
  <si>
    <t>太陽</t>
  </si>
  <si>
    <t>ハニｰ
ﾊｰﾄ</t>
  </si>
  <si>
    <t>伊那
豊後</t>
  </si>
  <si>
    <t>甲州
最小</t>
  </si>
  <si>
    <t>甲州
小梅</t>
  </si>
  <si>
    <t>鶯宿</t>
  </si>
  <si>
    <t>ｈａ</t>
  </si>
  <si>
    <t>トン</t>
  </si>
  <si>
    <t>長生早生</t>
  </si>
  <si>
    <t>なつたより</t>
  </si>
  <si>
    <t>長崎早生</t>
  </si>
  <si>
    <t>茂木</t>
  </si>
  <si>
    <t>田中</t>
  </si>
  <si>
    <t>ぽろたん</t>
  </si>
  <si>
    <t>ｈａ</t>
  </si>
  <si>
    <t>トン</t>
  </si>
  <si>
    <t>ﾄﾑﾘ</t>
  </si>
  <si>
    <t>ﾍｲﾜｰﾄﾞ</t>
  </si>
  <si>
    <t>ﾚｲﾝﾎﾞｰﾚｯﾄﾞ</t>
  </si>
  <si>
    <t>ゴールデン
キング</t>
  </si>
  <si>
    <t>早味かん</t>
  </si>
  <si>
    <t>甘うぃ</t>
  </si>
  <si>
    <t>ﾏﾂｱ</t>
  </si>
  <si>
    <t>クインニーナ</t>
  </si>
  <si>
    <r>
      <t>川中島</t>
    </r>
    <r>
      <rPr>
        <sz val="20"/>
        <rFont val="ＭＳ Ｐゴシック"/>
        <family val="3"/>
      </rPr>
      <t xml:space="preserve">
白桃</t>
    </r>
  </si>
  <si>
    <r>
      <t>川中島</t>
    </r>
    <r>
      <rPr>
        <sz val="20"/>
        <rFont val="ＭＳ Ｐゴシック"/>
        <family val="3"/>
      </rPr>
      <t xml:space="preserve">
白鳳</t>
    </r>
  </si>
  <si>
    <r>
      <t xml:space="preserve">魁密
</t>
    </r>
    <r>
      <rPr>
        <sz val="14"/>
        <rFont val="ＭＳ Ｐゴシック"/>
        <family val="3"/>
      </rPr>
      <t>（アップルキウイ）</t>
    </r>
  </si>
  <si>
    <t>大玉
あかつき</t>
  </si>
  <si>
    <t>八女市</t>
  </si>
  <si>
    <t>宗像市</t>
  </si>
  <si>
    <t>福津市</t>
  </si>
  <si>
    <t>糸島市</t>
  </si>
  <si>
    <t>那珂川市</t>
  </si>
  <si>
    <t>古賀市</t>
  </si>
  <si>
    <t>新宮町</t>
  </si>
  <si>
    <t>福岡市</t>
  </si>
  <si>
    <t>筑紫野市</t>
  </si>
  <si>
    <t>糸島市</t>
  </si>
  <si>
    <t>糸島市</t>
  </si>
  <si>
    <t>新宮町</t>
  </si>
  <si>
    <t>うきは市</t>
  </si>
  <si>
    <t>朝倉市</t>
  </si>
  <si>
    <t>久留米市</t>
  </si>
  <si>
    <t>筑前町</t>
  </si>
  <si>
    <t>東峰村</t>
  </si>
  <si>
    <t>宮若市</t>
  </si>
  <si>
    <t>嘉麻市</t>
  </si>
  <si>
    <t>添田町</t>
  </si>
  <si>
    <t>川崎町</t>
  </si>
  <si>
    <t>直方市</t>
  </si>
  <si>
    <t>飯塚市</t>
  </si>
  <si>
    <t>田川市</t>
  </si>
  <si>
    <t>鞍手町</t>
  </si>
  <si>
    <t>-</t>
  </si>
  <si>
    <t>赤村</t>
  </si>
  <si>
    <t>福智町</t>
  </si>
  <si>
    <t>桂川町</t>
  </si>
  <si>
    <t>香春町</t>
  </si>
  <si>
    <t>大任町</t>
  </si>
  <si>
    <t>豊前市</t>
  </si>
  <si>
    <t>築上町</t>
  </si>
  <si>
    <t>みやこ町</t>
  </si>
  <si>
    <t>行橋市</t>
  </si>
  <si>
    <t>上毛町</t>
  </si>
  <si>
    <t>上毛町</t>
  </si>
  <si>
    <t>北九州市</t>
  </si>
  <si>
    <t>県計</t>
  </si>
  <si>
    <t>品種登録が済んでいないもの</t>
  </si>
  <si>
    <t>大粒・赤</t>
  </si>
  <si>
    <t>晩生・赤</t>
  </si>
  <si>
    <t>品種登録が済んでいるもの</t>
  </si>
  <si>
    <t>品種登録が済んでいないもの</t>
  </si>
  <si>
    <t>早笹栗</t>
  </si>
  <si>
    <t>福岡農林計</t>
  </si>
  <si>
    <t>朝倉農林計</t>
  </si>
  <si>
    <t>八幡農林計</t>
  </si>
  <si>
    <t>筑後農林計</t>
  </si>
  <si>
    <t>行橋農林計</t>
  </si>
  <si>
    <t>飯塚農林計</t>
  </si>
  <si>
    <t>中粒</t>
  </si>
  <si>
    <t>大粒・赤</t>
  </si>
  <si>
    <t>品種登録が済んでいるもの</t>
  </si>
  <si>
    <t>品種登録が済んでいないもの</t>
  </si>
  <si>
    <t>　　品種登録が済んでいないもの</t>
  </si>
  <si>
    <t>品種登録が
済んでいるもの</t>
  </si>
  <si>
    <t>小梅</t>
  </si>
  <si>
    <t>渋柿</t>
  </si>
  <si>
    <t>四捨五入の関係により、総計と内訳が一致しないことがある。</t>
  </si>
  <si>
    <t>おうとう</t>
  </si>
  <si>
    <t>紅さやか</t>
  </si>
  <si>
    <t>山形美人</t>
  </si>
  <si>
    <t>紅秀峰</t>
  </si>
  <si>
    <t>佐藤錦</t>
  </si>
  <si>
    <t>品種登録が済んで
いないもの</t>
  </si>
  <si>
    <t>１　果樹品種別生産動向調査</t>
  </si>
  <si>
    <t>　うんしゅうみかん(令和２年産）</t>
  </si>
  <si>
    <t>りんご（令和２年産）</t>
  </si>
  <si>
    <t>生食用ぶどう（令和２年産）</t>
  </si>
  <si>
    <t>日本なし（令和２年産）</t>
  </si>
  <si>
    <t>もも生食用（加工兼用種を含む）（令和２年産）</t>
  </si>
  <si>
    <t>１　果樹品種別生産動向調査　</t>
  </si>
  <si>
    <t>すもも（令和２年産）</t>
  </si>
  <si>
    <t>（令和２年産）</t>
  </si>
  <si>
    <t>うめ（令和２年産）</t>
  </si>
  <si>
    <t>　　かき（令和２年産）</t>
  </si>
  <si>
    <t>　くり（令和２年産）</t>
  </si>
  <si>
    <t>キウイフルーツ（令和２年産）</t>
  </si>
  <si>
    <t>飯塚市</t>
  </si>
  <si>
    <t>-</t>
  </si>
  <si>
    <t>岡垣町</t>
  </si>
  <si>
    <t>岡垣町</t>
  </si>
  <si>
    <t>涼風</t>
  </si>
  <si>
    <t>白茂木</t>
  </si>
  <si>
    <t/>
  </si>
  <si>
    <t>13..8</t>
  </si>
  <si>
    <t>うきは市</t>
  </si>
  <si>
    <t>大牟田市</t>
  </si>
  <si>
    <t>みやま市</t>
  </si>
  <si>
    <t>柳川市</t>
  </si>
  <si>
    <t>筑後市</t>
  </si>
  <si>
    <t>広川町</t>
  </si>
  <si>
    <t>ｈａ</t>
  </si>
  <si>
    <t>はるたより</t>
  </si>
  <si>
    <t>うきは市</t>
  </si>
  <si>
    <t>うきは市</t>
  </si>
  <si>
    <t>うきは市</t>
  </si>
  <si>
    <r>
      <t xml:space="preserve">　0.1
</t>
    </r>
    <r>
      <rPr>
        <sz val="9"/>
        <color indexed="8"/>
        <rFont val="ＭＳ Ｐゴシック"/>
        <family val="3"/>
      </rPr>
      <t>BKシードレス</t>
    </r>
  </si>
  <si>
    <t>（ 令 和 ２ 年 産 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</si>
</sst>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##,###,##0.0"/>
    <numFmt numFmtId="179" formatCode="#,##0.0_ "/>
    <numFmt numFmtId="180" formatCode="0.0_);[Red]\(0.0\)"/>
    <numFmt numFmtId="181" formatCode="#,##0.0;\-#,##0.0"/>
    <numFmt numFmtId="182" formatCode="#,##0.000"/>
    <numFmt numFmtId="183" formatCode="0.00_);[Red]\(0.00\)"/>
    <numFmt numFmtId="184" formatCode="###,###,##0.00"/>
    <numFmt numFmtId="185" formatCode="0.00_ "/>
    <numFmt numFmtId="186" formatCode="#,##0_ "/>
    <numFmt numFmtId="187" formatCode="#,##0.0_);[Red]\(#,##0.0\)"/>
    <numFmt numFmtId="188" formatCode="00\-00"/>
    <numFmt numFmtId="189" formatCode="00\-0"/>
    <numFmt numFmtId="190" formatCode="#,##0.00_);[Red]\(#,##0.00\)"/>
    <numFmt numFmtId="191" formatCode="#,##0_);[Red]\(#,##0\)"/>
    <numFmt numFmtId="192" formatCode="#,##0.000_);[Red]\(#,##0.000\)"/>
    <numFmt numFmtId="193" formatCode="#,##0.0000_);[Red]\(#,##0.0000\)"/>
    <numFmt numFmtId="194" formatCode="0.0%"/>
    <numFmt numFmtId="195" formatCode="#,##0.00_ "/>
    <numFmt numFmtId="196" formatCode="#,##0.000_ "/>
    <numFmt numFmtId="197" formatCode="0.000_);[Red]\(0.000\)"/>
    <numFmt numFmtId="198" formatCode="#,##0.000;\-#,##0.000"/>
  </numFmts>
  <fonts count="7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20"/>
      <name val="DejaVu Sans"/>
      <family val="2"/>
    </font>
    <font>
      <b/>
      <sz val="15"/>
      <color indexed="56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20"/>
      <color rgb="FFFF0000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59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176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31" borderId="4" applyNumberFormat="0" applyAlignment="0" applyProtection="0"/>
    <xf numFmtId="176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847">
    <xf numFmtId="177" fontId="0" fillId="0" borderId="0" xfId="0" applyNumberFormat="1" applyFont="1" applyAlignment="1" applyProtection="1">
      <alignment horizontal="center"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177" fontId="9" fillId="0" borderId="0" xfId="0" applyNumberFormat="1" applyFont="1" applyFill="1" applyAlignment="1">
      <alignment horizontal="left" vertical="center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81" fontId="6" fillId="0" borderId="10" xfId="0" applyNumberFormat="1" applyFont="1" applyFill="1" applyBorder="1" applyAlignment="1" applyProtection="1">
      <alignment horizontal="center" vertical="center"/>
      <protection/>
    </xf>
    <xf numFmtId="181" fontId="6" fillId="0" borderId="11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13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4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6" xfId="0" applyNumberFormat="1" applyFont="1" applyFill="1" applyBorder="1" applyAlignment="1" applyProtection="1">
      <alignment horizontal="center" vertical="center" wrapText="1" shrinkToFit="1"/>
      <protection/>
    </xf>
    <xf numFmtId="181" fontId="15" fillId="0" borderId="16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7" xfId="0" applyNumberFormat="1" applyFont="1" applyFill="1" applyBorder="1" applyAlignment="1" applyProtection="1">
      <alignment horizontal="center" vertical="center" wrapText="1"/>
      <protection/>
    </xf>
    <xf numFmtId="181" fontId="15" fillId="0" borderId="16" xfId="0" applyNumberFormat="1" applyFont="1" applyFill="1" applyBorder="1" applyAlignment="1" applyProtection="1">
      <alignment horizontal="center" vertical="center" wrapText="1"/>
      <protection/>
    </xf>
    <xf numFmtId="181" fontId="6" fillId="0" borderId="16" xfId="0" applyNumberFormat="1" applyFont="1" applyFill="1" applyBorder="1" applyAlignment="1" applyProtection="1">
      <alignment horizontal="center" vertical="center" wrapText="1"/>
      <protection/>
    </xf>
    <xf numFmtId="181" fontId="6" fillId="0" borderId="16" xfId="0" applyNumberFormat="1" applyFont="1" applyFill="1" applyBorder="1" applyAlignment="1">
      <alignment horizontal="center" vertical="center" wrapText="1" shrinkToFit="1"/>
    </xf>
    <xf numFmtId="181" fontId="6" fillId="0" borderId="14" xfId="0" applyNumberFormat="1" applyFont="1" applyFill="1" applyBorder="1" applyAlignment="1">
      <alignment horizontal="center" vertical="center" wrapText="1" shrinkToFit="1"/>
    </xf>
    <xf numFmtId="181" fontId="15" fillId="0" borderId="16" xfId="0" applyNumberFormat="1" applyFont="1" applyFill="1" applyBorder="1" applyAlignment="1">
      <alignment horizontal="center" vertical="center" wrapText="1" shrinkToFit="1"/>
    </xf>
    <xf numFmtId="181" fontId="15" fillId="0" borderId="14" xfId="0" applyNumberFormat="1" applyFont="1" applyFill="1" applyBorder="1" applyAlignment="1">
      <alignment horizontal="center" vertical="center" wrapText="1" shrinkToFit="1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 applyProtection="1">
      <alignment horizontal="center" vertical="center" shrinkToFit="1"/>
      <protection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vertical="center"/>
      <protection locked="0"/>
    </xf>
    <xf numFmtId="181" fontId="6" fillId="0" borderId="19" xfId="0" applyNumberFormat="1" applyFont="1" applyFill="1" applyBorder="1" applyAlignment="1">
      <alignment horizontal="center" vertical="center"/>
    </xf>
    <xf numFmtId="181" fontId="6" fillId="0" borderId="20" xfId="0" applyNumberFormat="1" applyFont="1" applyFill="1" applyBorder="1" applyAlignment="1">
      <alignment horizontal="center" vertical="center"/>
    </xf>
    <xf numFmtId="181" fontId="6" fillId="0" borderId="21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 applyProtection="1">
      <alignment horizontal="center" vertical="center" shrinkToFit="1"/>
      <protection/>
    </xf>
    <xf numFmtId="181" fontId="6" fillId="0" borderId="22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4" xfId="0" applyNumberFormat="1" applyFont="1" applyFill="1" applyBorder="1" applyAlignment="1">
      <alignment horizontal="center" vertical="center" shrinkToFit="1"/>
    </xf>
    <xf numFmtId="181" fontId="6" fillId="0" borderId="13" xfId="0" applyNumberFormat="1" applyFont="1" applyFill="1" applyBorder="1" applyAlignment="1">
      <alignment horizontal="center" vertical="center" wrapText="1" shrinkToFit="1"/>
    </xf>
    <xf numFmtId="181" fontId="6" fillId="0" borderId="21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81" fontId="6" fillId="0" borderId="13" xfId="0" applyNumberFormat="1" applyFont="1" applyFill="1" applyBorder="1" applyAlignment="1" applyProtection="1">
      <alignment horizontal="center" vertical="center" shrinkToFit="1"/>
      <protection/>
    </xf>
    <xf numFmtId="181" fontId="6" fillId="0" borderId="17" xfId="0" applyNumberFormat="1" applyFont="1" applyFill="1" applyBorder="1" applyAlignment="1" applyProtection="1">
      <alignment horizontal="center" vertical="center" shrinkToFit="1"/>
      <protection/>
    </xf>
    <xf numFmtId="181" fontId="6" fillId="0" borderId="23" xfId="0" applyNumberFormat="1" applyFont="1" applyFill="1" applyBorder="1" applyAlignment="1" applyProtection="1">
      <alignment horizontal="center" vertical="center" shrinkToFit="1"/>
      <protection/>
    </xf>
    <xf numFmtId="181" fontId="6" fillId="0" borderId="14" xfId="0" applyNumberFormat="1" applyFont="1" applyFill="1" applyBorder="1" applyAlignment="1" applyProtection="1">
      <alignment horizontal="center" vertical="center" shrinkToFit="1"/>
      <protection/>
    </xf>
    <xf numFmtId="181" fontId="6" fillId="0" borderId="24" xfId="0" applyNumberFormat="1" applyFont="1" applyFill="1" applyBorder="1" applyAlignment="1" applyProtection="1">
      <alignment horizontal="center" vertical="center" shrinkToFit="1"/>
      <protection/>
    </xf>
    <xf numFmtId="177" fontId="11" fillId="0" borderId="0" xfId="0" applyNumberFormat="1" applyFont="1" applyFill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177" fontId="12" fillId="0" borderId="0" xfId="0" applyNumberFormat="1" applyFont="1" applyFill="1" applyAlignment="1">
      <alignment vertical="center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 locked="0"/>
    </xf>
    <xf numFmtId="181" fontId="14" fillId="0" borderId="14" xfId="0" applyNumberFormat="1" applyFont="1" applyFill="1" applyBorder="1" applyAlignment="1">
      <alignment horizontal="center" vertical="center" wrapText="1" shrinkToFit="1"/>
    </xf>
    <xf numFmtId="181" fontId="6" fillId="0" borderId="17" xfId="0" applyNumberFormat="1" applyFont="1" applyFill="1" applyBorder="1" applyAlignment="1" applyProtection="1">
      <alignment horizontal="center" vertical="center"/>
      <protection/>
    </xf>
    <xf numFmtId="181" fontId="6" fillId="0" borderId="25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1" fontId="6" fillId="0" borderId="26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2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15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 locked="0"/>
    </xf>
    <xf numFmtId="181" fontId="6" fillId="0" borderId="11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0" applyNumberFormat="1" applyFont="1" applyBorder="1" applyAlignment="1" applyProtection="1">
      <alignment horizontal="center" vertical="center"/>
      <protection locked="0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181" fontId="6" fillId="0" borderId="12" xfId="0" applyNumberFormat="1" applyFont="1" applyFill="1" applyBorder="1" applyAlignment="1">
      <alignment horizontal="center" vertical="center"/>
    </xf>
    <xf numFmtId="181" fontId="14" fillId="0" borderId="13" xfId="0" applyNumberFormat="1" applyFont="1" applyFill="1" applyBorder="1" applyAlignment="1">
      <alignment horizontal="center" vertical="center" wrapText="1" shrinkToFit="1"/>
    </xf>
    <xf numFmtId="186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1" xfId="0" applyNumberFormat="1" applyFont="1" applyFill="1" applyBorder="1" applyAlignment="1">
      <alignment horizontal="center" vertical="center"/>
    </xf>
    <xf numFmtId="181" fontId="6" fillId="0" borderId="27" xfId="0" applyNumberFormat="1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81" fontId="6" fillId="0" borderId="33" xfId="0" applyNumberFormat="1" applyFont="1" applyFill="1" applyBorder="1" applyAlignment="1">
      <alignment horizontal="center" vertical="center"/>
    </xf>
    <xf numFmtId="177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86" fontId="6" fillId="0" borderId="0" xfId="0" applyNumberFormat="1" applyFont="1" applyAlignment="1" applyProtection="1">
      <alignment horizontal="right" vertical="center"/>
      <protection locked="0"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81" fontId="6" fillId="0" borderId="25" xfId="0" applyNumberFormat="1" applyFont="1" applyFill="1" applyBorder="1" applyAlignment="1">
      <alignment vertical="center"/>
    </xf>
    <xf numFmtId="181" fontId="6" fillId="0" borderId="24" xfId="0" applyNumberFormat="1" applyFont="1" applyFill="1" applyBorder="1" applyAlignment="1">
      <alignment vertical="center"/>
    </xf>
    <xf numFmtId="181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shrinkToFit="1"/>
    </xf>
    <xf numFmtId="181" fontId="6" fillId="0" borderId="28" xfId="0" applyNumberFormat="1" applyFont="1" applyFill="1" applyBorder="1" applyAlignment="1">
      <alignment horizontal="center" vertical="center"/>
    </xf>
    <xf numFmtId="181" fontId="6" fillId="0" borderId="35" xfId="0" applyNumberFormat="1" applyFont="1" applyFill="1" applyBorder="1" applyAlignment="1">
      <alignment horizontal="center" vertical="center" wrapText="1" shrinkToFit="1"/>
    </xf>
    <xf numFmtId="181" fontId="6" fillId="0" borderId="14" xfId="0" applyNumberFormat="1" applyFont="1" applyFill="1" applyBorder="1" applyAlignment="1">
      <alignment horizontal="center" vertical="center" wrapText="1"/>
    </xf>
    <xf numFmtId="181" fontId="13" fillId="0" borderId="14" xfId="0" applyNumberFormat="1" applyFont="1" applyFill="1" applyBorder="1" applyAlignment="1">
      <alignment horizontal="center" vertical="center" wrapText="1" shrinkToFit="1"/>
    </xf>
    <xf numFmtId="181" fontId="6" fillId="0" borderId="16" xfId="0" applyNumberFormat="1" applyFont="1" applyFill="1" applyBorder="1" applyAlignment="1">
      <alignment horizontal="center" vertical="center" wrapText="1"/>
    </xf>
    <xf numFmtId="181" fontId="13" fillId="0" borderId="16" xfId="0" applyNumberFormat="1" applyFont="1" applyFill="1" applyBorder="1" applyAlignment="1" applyProtection="1">
      <alignment horizontal="center" vertical="center" wrapText="1"/>
      <protection/>
    </xf>
    <xf numFmtId="181" fontId="6" fillId="0" borderId="17" xfId="0" applyNumberFormat="1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 applyProtection="1">
      <alignment horizontal="center" vertical="center"/>
      <protection/>
    </xf>
    <xf numFmtId="181" fontId="6" fillId="0" borderId="22" xfId="0" applyNumberFormat="1" applyFont="1" applyFill="1" applyBorder="1" applyAlignment="1" applyProtection="1">
      <alignment horizontal="center" vertical="center" wrapText="1"/>
      <protection/>
    </xf>
    <xf numFmtId="181" fontId="6" fillId="0" borderId="15" xfId="0" applyNumberFormat="1" applyFont="1" applyFill="1" applyBorder="1" applyAlignment="1">
      <alignment horizontal="center" vertical="center" shrinkToFit="1"/>
    </xf>
    <xf numFmtId="181" fontId="0" fillId="0" borderId="13" xfId="0" applyNumberFormat="1" applyFont="1" applyFill="1" applyBorder="1" applyAlignment="1">
      <alignment horizontal="center" vertical="center" wrapText="1" shrinkToFit="1"/>
    </xf>
    <xf numFmtId="181" fontId="15" fillId="0" borderId="13" xfId="0" applyNumberFormat="1" applyFont="1" applyFill="1" applyBorder="1" applyAlignment="1">
      <alignment horizontal="center" vertical="center" wrapText="1" shrinkToFit="1"/>
    </xf>
    <xf numFmtId="181" fontId="6" fillId="0" borderId="35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81" fontId="66" fillId="0" borderId="15" xfId="0" applyNumberFormat="1" applyFont="1" applyFill="1" applyBorder="1" applyAlignment="1" applyProtection="1">
      <alignment horizontal="center" vertical="center" shrinkToFit="1"/>
      <protection/>
    </xf>
    <xf numFmtId="181" fontId="66" fillId="0" borderId="14" xfId="0" applyNumberFormat="1" applyFont="1" applyFill="1" applyBorder="1" applyAlignment="1" applyProtection="1">
      <alignment horizontal="center" vertical="center" shrinkToFit="1"/>
      <protection/>
    </xf>
    <xf numFmtId="181" fontId="66" fillId="0" borderId="16" xfId="0" applyNumberFormat="1" applyFont="1" applyFill="1" applyBorder="1" applyAlignment="1" applyProtection="1">
      <alignment horizontal="center" vertical="center" shrinkToFit="1"/>
      <protection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81" fontId="6" fillId="0" borderId="17" xfId="0" applyNumberFormat="1" applyFont="1" applyFill="1" applyBorder="1" applyAlignment="1" applyProtection="1">
      <alignment horizontal="center" vertical="center" wrapText="1" shrinkToFit="1"/>
      <protection/>
    </xf>
    <xf numFmtId="181" fontId="15" fillId="0" borderId="23" xfId="0" applyNumberFormat="1" applyFont="1" applyFill="1" applyBorder="1" applyAlignment="1" applyProtection="1">
      <alignment horizontal="center" vertical="center" wrapText="1" shrinkToFit="1"/>
      <protection/>
    </xf>
    <xf numFmtId="181" fontId="14" fillId="0" borderId="15" xfId="0" applyNumberFormat="1" applyFont="1" applyFill="1" applyBorder="1" applyAlignment="1">
      <alignment horizontal="center" vertical="center" wrapText="1" shrinkToFit="1"/>
    </xf>
    <xf numFmtId="181" fontId="15" fillId="0" borderId="37" xfId="0" applyNumberFormat="1" applyFont="1" applyFill="1" applyBorder="1" applyAlignment="1">
      <alignment horizontal="center" vertical="center" wrapText="1"/>
    </xf>
    <xf numFmtId="181" fontId="6" fillId="0" borderId="38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 wrapText="1" shrinkToFit="1"/>
    </xf>
    <xf numFmtId="181" fontId="6" fillId="0" borderId="39" xfId="0" applyNumberFormat="1" applyFont="1" applyFill="1" applyBorder="1" applyAlignment="1" applyProtection="1">
      <alignment horizontal="center" vertical="center" shrinkToFit="1"/>
      <protection/>
    </xf>
    <xf numFmtId="181" fontId="6" fillId="0" borderId="20" xfId="0" applyNumberFormat="1" applyFont="1" applyFill="1" applyBorder="1" applyAlignment="1" applyProtection="1">
      <alignment horizontal="center" vertical="center" shrinkToFit="1"/>
      <protection/>
    </xf>
    <xf numFmtId="181" fontId="6" fillId="0" borderId="20" xfId="0" applyNumberFormat="1" applyFont="1" applyFill="1" applyBorder="1" applyAlignment="1">
      <alignment horizontal="center" vertical="center" shrinkToFit="1"/>
    </xf>
    <xf numFmtId="181" fontId="6" fillId="0" borderId="27" xfId="0" applyNumberFormat="1" applyFont="1" applyBorder="1" applyAlignment="1" applyProtection="1">
      <alignment horizontal="center" vertical="center"/>
      <protection/>
    </xf>
    <xf numFmtId="177" fontId="6" fillId="0" borderId="4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181" fontId="13" fillId="0" borderId="41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42" xfId="0" applyNumberFormat="1" applyFont="1" applyFill="1" applyBorder="1" applyAlignment="1" applyProtection="1">
      <alignment horizontal="center" vertical="center" shrinkToFit="1"/>
      <protection/>
    </xf>
    <xf numFmtId="181" fontId="6" fillId="0" borderId="42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43" xfId="0" applyNumberFormat="1" applyFont="1" applyFill="1" applyBorder="1" applyAlignment="1">
      <alignment horizontal="center" vertical="center" shrinkToFit="1"/>
    </xf>
    <xf numFmtId="181" fontId="15" fillId="0" borderId="44" xfId="0" applyNumberFormat="1" applyFont="1" applyFill="1" applyBorder="1" applyAlignment="1">
      <alignment horizontal="center" vertical="center" wrapText="1" shrinkToFit="1"/>
    </xf>
    <xf numFmtId="181" fontId="6" fillId="0" borderId="45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Alignment="1" applyProtection="1">
      <alignment horizontal="center" vertical="center"/>
      <protection locked="0"/>
    </xf>
    <xf numFmtId="177" fontId="6" fillId="0" borderId="0" xfId="0" applyNumberFormat="1" applyFont="1" applyFill="1" applyAlignment="1" applyProtection="1">
      <alignment horizontal="left" vertical="center"/>
      <protection locked="0"/>
    </xf>
    <xf numFmtId="181" fontId="6" fillId="0" borderId="33" xfId="0" applyNumberFormat="1" applyFont="1" applyFill="1" applyBorder="1" applyAlignment="1">
      <alignment horizontal="center" vertical="center" shrinkToFit="1"/>
    </xf>
    <xf numFmtId="181" fontId="6" fillId="0" borderId="46" xfId="0" applyNumberFormat="1" applyFont="1" applyFill="1" applyBorder="1" applyAlignment="1">
      <alignment horizontal="center" vertical="center"/>
    </xf>
    <xf numFmtId="181" fontId="6" fillId="0" borderId="38" xfId="0" applyNumberFormat="1" applyFont="1" applyFill="1" applyBorder="1" applyAlignment="1" applyProtection="1">
      <alignment horizontal="center" vertical="center"/>
      <protection/>
    </xf>
    <xf numFmtId="181" fontId="6" fillId="0" borderId="36" xfId="0" applyNumberFormat="1" applyFont="1" applyFill="1" applyBorder="1" applyAlignment="1">
      <alignment horizontal="center" vertical="center"/>
    </xf>
    <xf numFmtId="181" fontId="6" fillId="0" borderId="47" xfId="0" applyNumberFormat="1" applyFont="1" applyFill="1" applyBorder="1" applyAlignment="1" applyProtection="1">
      <alignment horizontal="center" vertical="center"/>
      <protection/>
    </xf>
    <xf numFmtId="181" fontId="6" fillId="0" borderId="48" xfId="0" applyNumberFormat="1" applyFont="1" applyFill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 applyProtection="1">
      <alignment horizontal="center" vertical="center" shrinkToFit="1"/>
      <protection/>
    </xf>
    <xf numFmtId="181" fontId="6" fillId="0" borderId="10" xfId="0" applyNumberFormat="1" applyFont="1" applyFill="1" applyBorder="1" applyAlignment="1">
      <alignment vertical="center"/>
    </xf>
    <xf numFmtId="181" fontId="6" fillId="0" borderId="43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49" xfId="0" applyNumberFormat="1" applyFont="1" applyFill="1" applyBorder="1" applyAlignment="1">
      <alignment horizontal="center" vertical="center"/>
    </xf>
    <xf numFmtId="177" fontId="6" fillId="0" borderId="50" xfId="0" applyNumberFormat="1" applyFont="1" applyFill="1" applyBorder="1" applyAlignment="1">
      <alignment horizontal="center" vertical="center"/>
    </xf>
    <xf numFmtId="181" fontId="6" fillId="0" borderId="39" xfId="0" applyNumberFormat="1" applyFont="1" applyFill="1" applyBorder="1" applyAlignment="1" applyProtection="1">
      <alignment horizontal="center" vertical="center" wrapText="1" shrinkToFit="1"/>
      <protection/>
    </xf>
    <xf numFmtId="181" fontId="6" fillId="33" borderId="19" xfId="0" applyNumberFormat="1" applyFont="1" applyFill="1" applyBorder="1" applyAlignment="1">
      <alignment horizontal="center" vertical="center"/>
    </xf>
    <xf numFmtId="181" fontId="6" fillId="33" borderId="45" xfId="0" applyNumberFormat="1" applyFont="1" applyFill="1" applyBorder="1" applyAlignment="1">
      <alignment horizontal="center" vertical="center"/>
    </xf>
    <xf numFmtId="181" fontId="6" fillId="33" borderId="27" xfId="0" applyNumberFormat="1" applyFont="1" applyFill="1" applyBorder="1" applyAlignment="1">
      <alignment horizontal="center" vertical="center"/>
    </xf>
    <xf numFmtId="181" fontId="6" fillId="33" borderId="12" xfId="0" applyNumberFormat="1" applyFont="1" applyFill="1" applyBorder="1" applyAlignment="1">
      <alignment horizontal="center" vertical="center"/>
    </xf>
    <xf numFmtId="181" fontId="6" fillId="33" borderId="21" xfId="0" applyNumberFormat="1" applyFont="1" applyFill="1" applyBorder="1" applyAlignment="1">
      <alignment horizontal="center" vertical="center"/>
    </xf>
    <xf numFmtId="181" fontId="6" fillId="33" borderId="50" xfId="0" applyNumberFormat="1" applyFont="1" applyFill="1" applyBorder="1" applyAlignment="1">
      <alignment horizontal="center" vertical="center"/>
    </xf>
    <xf numFmtId="181" fontId="6" fillId="0" borderId="51" xfId="0" applyNumberFormat="1" applyFont="1" applyFill="1" applyBorder="1" applyAlignment="1">
      <alignment horizontal="center" vertical="center"/>
    </xf>
    <xf numFmtId="181" fontId="15" fillId="0" borderId="35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24" xfId="0" applyNumberFormat="1" applyFont="1" applyFill="1" applyBorder="1" applyAlignment="1">
      <alignment horizontal="center" vertical="center"/>
    </xf>
    <xf numFmtId="177" fontId="17" fillId="0" borderId="52" xfId="0" applyNumberFormat="1" applyFont="1" applyFill="1" applyBorder="1" applyAlignment="1">
      <alignment horizontal="center" vertical="center"/>
    </xf>
    <xf numFmtId="181" fontId="6" fillId="0" borderId="29" xfId="0" applyNumberFormat="1" applyFont="1" applyFill="1" applyBorder="1" applyAlignment="1">
      <alignment horizontal="center" vertical="center"/>
    </xf>
    <xf numFmtId="181" fontId="17" fillId="0" borderId="52" xfId="0" applyNumberFormat="1" applyFont="1" applyBorder="1" applyAlignment="1">
      <alignment horizontal="center" vertical="center"/>
    </xf>
    <xf numFmtId="177" fontId="6" fillId="0" borderId="53" xfId="0" applyNumberFormat="1" applyFont="1" applyFill="1" applyBorder="1" applyAlignment="1">
      <alignment horizontal="center" vertical="center"/>
    </xf>
    <xf numFmtId="181" fontId="6" fillId="0" borderId="40" xfId="0" applyNumberFormat="1" applyFont="1" applyFill="1" applyBorder="1" applyAlignment="1">
      <alignment horizontal="center" vertical="center"/>
    </xf>
    <xf numFmtId="181" fontId="6" fillId="0" borderId="49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 applyProtection="1">
      <alignment horizontal="center" vertical="center"/>
      <protection/>
    </xf>
    <xf numFmtId="181" fontId="13" fillId="0" borderId="24" xfId="0" applyNumberFormat="1" applyFont="1" applyFill="1" applyBorder="1" applyAlignment="1" applyProtection="1">
      <alignment horizontal="center" vertical="center" wrapText="1"/>
      <protection/>
    </xf>
    <xf numFmtId="181" fontId="15" fillId="0" borderId="13" xfId="0" applyNumberFormat="1" applyFont="1" applyFill="1" applyBorder="1" applyAlignment="1" applyProtection="1">
      <alignment horizontal="center" vertical="center" wrapText="1"/>
      <protection/>
    </xf>
    <xf numFmtId="181" fontId="6" fillId="0" borderId="24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20" xfId="0" applyNumberFormat="1" applyFont="1" applyFill="1" applyBorder="1" applyAlignment="1" applyProtection="1">
      <alignment horizontal="center" vertical="center" wrapText="1"/>
      <protection/>
    </xf>
    <xf numFmtId="177" fontId="6" fillId="0" borderId="48" xfId="0" applyNumberFormat="1" applyFont="1" applyFill="1" applyBorder="1" applyAlignment="1">
      <alignment horizontal="center" vertical="center"/>
    </xf>
    <xf numFmtId="177" fontId="6" fillId="0" borderId="54" xfId="0" applyNumberFormat="1" applyFont="1" applyFill="1" applyBorder="1" applyAlignment="1">
      <alignment horizontal="center" vertical="center"/>
    </xf>
    <xf numFmtId="177" fontId="6" fillId="0" borderId="55" xfId="0" applyNumberFormat="1" applyFont="1" applyFill="1" applyBorder="1" applyAlignment="1">
      <alignment horizontal="center" vertical="center"/>
    </xf>
    <xf numFmtId="177" fontId="6" fillId="0" borderId="56" xfId="0" applyNumberFormat="1" applyFont="1" applyFill="1" applyBorder="1" applyAlignment="1">
      <alignment horizontal="center" vertical="center" wrapText="1"/>
    </xf>
    <xf numFmtId="181" fontId="6" fillId="0" borderId="36" xfId="0" applyNumberFormat="1" applyFont="1" applyBorder="1" applyAlignment="1" applyProtection="1">
      <alignment horizontal="center" vertical="center"/>
      <protection/>
    </xf>
    <xf numFmtId="177" fontId="15" fillId="0" borderId="45" xfId="0" applyNumberFormat="1" applyFont="1" applyFill="1" applyBorder="1" applyAlignment="1">
      <alignment horizontal="center" vertical="center" wrapText="1" shrinkToFit="1"/>
    </xf>
    <xf numFmtId="177" fontId="15" fillId="0" borderId="57" xfId="0" applyNumberFormat="1" applyFont="1" applyFill="1" applyBorder="1" applyAlignment="1">
      <alignment horizontal="center" vertical="center" wrapText="1"/>
    </xf>
    <xf numFmtId="181" fontId="66" fillId="33" borderId="14" xfId="0" applyNumberFormat="1" applyFont="1" applyFill="1" applyBorder="1" applyAlignment="1" applyProtection="1">
      <alignment horizontal="center" vertical="center" shrinkToFit="1"/>
      <protection/>
    </xf>
    <xf numFmtId="181" fontId="6" fillId="0" borderId="30" xfId="0" applyNumberFormat="1" applyFont="1" applyFill="1" applyBorder="1" applyAlignment="1">
      <alignment horizontal="center" vertical="center"/>
    </xf>
    <xf numFmtId="181" fontId="6" fillId="0" borderId="47" xfId="0" applyNumberFormat="1" applyFont="1" applyFill="1" applyBorder="1" applyAlignment="1">
      <alignment horizontal="center" vertical="center"/>
    </xf>
    <xf numFmtId="181" fontId="6" fillId="0" borderId="58" xfId="0" applyNumberFormat="1" applyFont="1" applyFill="1" applyBorder="1" applyAlignment="1">
      <alignment horizontal="center" vertical="center"/>
    </xf>
    <xf numFmtId="177" fontId="6" fillId="0" borderId="38" xfId="0" applyNumberFormat="1" applyFont="1" applyBorder="1" applyAlignment="1" applyProtection="1">
      <alignment horizontal="center" vertical="center"/>
      <protection locked="0"/>
    </xf>
    <xf numFmtId="181" fontId="6" fillId="0" borderId="31" xfId="0" applyNumberFormat="1" applyFont="1" applyFill="1" applyBorder="1" applyAlignment="1" applyProtection="1">
      <alignment horizontal="center" vertical="center"/>
      <protection/>
    </xf>
    <xf numFmtId="181" fontId="6" fillId="0" borderId="32" xfId="0" applyNumberFormat="1" applyFont="1" applyFill="1" applyBorder="1" applyAlignment="1">
      <alignment horizontal="center" vertical="center" wrapText="1"/>
    </xf>
    <xf numFmtId="181" fontId="17" fillId="0" borderId="59" xfId="0" applyNumberFormat="1" applyFont="1" applyBorder="1" applyAlignment="1">
      <alignment horizontal="center" vertical="center"/>
    </xf>
    <xf numFmtId="181" fontId="6" fillId="0" borderId="17" xfId="0" applyNumberFormat="1" applyFont="1" applyFill="1" applyBorder="1" applyAlignment="1">
      <alignment horizontal="center" vertical="center"/>
    </xf>
    <xf numFmtId="181" fontId="15" fillId="0" borderId="17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0" xfId="0" applyNumberFormat="1" applyFont="1" applyFill="1" applyBorder="1" applyAlignment="1">
      <alignment horizontal="right" vertical="center"/>
    </xf>
    <xf numFmtId="181" fontId="66" fillId="33" borderId="28" xfId="0" applyNumberFormat="1" applyFont="1" applyFill="1" applyBorder="1" applyAlignment="1">
      <alignment horizontal="center" vertical="center"/>
    </xf>
    <xf numFmtId="177" fontId="66" fillId="33" borderId="21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horizontal="left" vertical="center"/>
      <protection locked="0"/>
    </xf>
    <xf numFmtId="181" fontId="67" fillId="0" borderId="27" xfId="0" applyNumberFormat="1" applyFont="1" applyFill="1" applyBorder="1" applyAlignment="1">
      <alignment horizontal="center" vertical="center"/>
    </xf>
    <xf numFmtId="181" fontId="6" fillId="0" borderId="27" xfId="0" applyNumberFormat="1" applyFont="1" applyFill="1" applyBorder="1" applyAlignment="1" applyProtection="1">
      <alignment horizontal="center" vertical="center"/>
      <protection/>
    </xf>
    <xf numFmtId="177" fontId="6" fillId="0" borderId="45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 wrapText="1" shrinkToFit="1"/>
    </xf>
    <xf numFmtId="181" fontId="6" fillId="0" borderId="28" xfId="0" applyNumberFormat="1" applyFont="1" applyBorder="1" applyAlignment="1">
      <alignment horizontal="center" vertical="center"/>
    </xf>
    <xf numFmtId="181" fontId="6" fillId="0" borderId="60" xfId="0" applyNumberFormat="1" applyFont="1" applyFill="1" applyBorder="1" applyAlignment="1">
      <alignment horizontal="center" vertical="center"/>
    </xf>
    <xf numFmtId="177" fontId="6" fillId="0" borderId="61" xfId="0" applyNumberFormat="1" applyFont="1" applyFill="1" applyBorder="1" applyAlignment="1" applyProtection="1">
      <alignment vertical="center"/>
      <protection locked="0"/>
    </xf>
    <xf numFmtId="177" fontId="6" fillId="0" borderId="30" xfId="0" applyNumberFormat="1" applyFont="1" applyFill="1" applyBorder="1" applyAlignment="1" applyProtection="1">
      <alignment vertical="center"/>
      <protection locked="0"/>
    </xf>
    <xf numFmtId="177" fontId="6" fillId="0" borderId="50" xfId="0" applyNumberFormat="1" applyFont="1" applyBorder="1" applyAlignment="1" applyProtection="1">
      <alignment horizontal="center" vertical="center"/>
      <protection locked="0"/>
    </xf>
    <xf numFmtId="181" fontId="6" fillId="0" borderId="15" xfId="0" applyNumberFormat="1" applyFont="1" applyFill="1" applyBorder="1" applyAlignment="1" applyProtection="1">
      <alignment horizontal="center" vertical="center" shrinkToFit="1"/>
      <protection/>
    </xf>
    <xf numFmtId="181" fontId="66" fillId="0" borderId="20" xfId="0" applyNumberFormat="1" applyFont="1" applyFill="1" applyBorder="1" applyAlignment="1" applyProtection="1">
      <alignment horizontal="center" vertical="center" shrinkToFit="1"/>
      <protection/>
    </xf>
    <xf numFmtId="39" fontId="6" fillId="0" borderId="29" xfId="0" applyNumberFormat="1" applyFont="1" applyFill="1" applyBorder="1" applyAlignment="1">
      <alignment horizontal="center" vertical="center"/>
    </xf>
    <xf numFmtId="39" fontId="6" fillId="0" borderId="48" xfId="0" applyNumberFormat="1" applyFont="1" applyFill="1" applyBorder="1" applyAlignment="1">
      <alignment horizontal="center" vertical="center"/>
    </xf>
    <xf numFmtId="181" fontId="6" fillId="0" borderId="43" xfId="0" applyNumberFormat="1" applyFont="1" applyFill="1" applyBorder="1" applyAlignment="1" applyProtection="1">
      <alignment horizontal="center" vertical="center" shrinkToFit="1"/>
      <protection/>
    </xf>
    <xf numFmtId="39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181" fontId="6" fillId="33" borderId="60" xfId="0" applyNumberFormat="1" applyFont="1" applyFill="1" applyBorder="1" applyAlignment="1">
      <alignment horizontal="center" vertical="center"/>
    </xf>
    <xf numFmtId="181" fontId="66" fillId="0" borderId="10" xfId="0" applyNumberFormat="1" applyFont="1" applyFill="1" applyBorder="1" applyAlignment="1">
      <alignment horizontal="center" vertical="center"/>
    </xf>
    <xf numFmtId="181" fontId="66" fillId="0" borderId="10" xfId="0" applyNumberFormat="1" applyFont="1" applyFill="1" applyBorder="1" applyAlignment="1" applyProtection="1">
      <alignment horizontal="center" vertical="center" shrinkToFit="1"/>
      <protection/>
    </xf>
    <xf numFmtId="181" fontId="66" fillId="0" borderId="0" xfId="0" applyNumberFormat="1" applyFont="1" applyFill="1" applyBorder="1" applyAlignment="1" applyProtection="1">
      <alignment horizontal="center" vertical="center" shrinkToFit="1"/>
      <protection/>
    </xf>
    <xf numFmtId="181" fontId="66" fillId="0" borderId="33" xfId="0" applyNumberFormat="1" applyFont="1" applyFill="1" applyBorder="1" applyAlignment="1" applyProtection="1">
      <alignment horizontal="center" vertical="center" shrinkToFit="1"/>
      <protection/>
    </xf>
    <xf numFmtId="181" fontId="66" fillId="0" borderId="11" xfId="0" applyNumberFormat="1" applyFont="1" applyFill="1" applyBorder="1" applyAlignment="1" applyProtection="1">
      <alignment horizontal="center" vertical="center" shrinkToFit="1"/>
      <protection/>
    </xf>
    <xf numFmtId="181" fontId="66" fillId="0" borderId="24" xfId="0" applyNumberFormat="1" applyFont="1" applyFill="1" applyBorder="1" applyAlignment="1" applyProtection="1">
      <alignment horizontal="center" vertical="center" shrinkToFit="1"/>
      <protection/>
    </xf>
    <xf numFmtId="181" fontId="66" fillId="0" borderId="17" xfId="0" applyNumberFormat="1" applyFont="1" applyFill="1" applyBorder="1" applyAlignment="1" applyProtection="1">
      <alignment horizontal="center" vertical="center" shrinkToFit="1"/>
      <protection/>
    </xf>
    <xf numFmtId="181" fontId="66" fillId="0" borderId="31" xfId="0" applyNumberFormat="1" applyFont="1" applyFill="1" applyBorder="1" applyAlignment="1">
      <alignment horizontal="center" vertical="center" wrapText="1"/>
    </xf>
    <xf numFmtId="177" fontId="6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6" fillId="0" borderId="31" xfId="0" applyNumberFormat="1" applyFont="1" applyFill="1" applyBorder="1" applyAlignment="1" applyProtection="1">
      <alignment horizontal="center" vertical="center" wrapText="1"/>
      <protection locked="0"/>
    </xf>
    <xf numFmtId="177" fontId="66" fillId="0" borderId="48" xfId="0" applyNumberFormat="1" applyFont="1" applyFill="1" applyBorder="1" applyAlignment="1">
      <alignment horizontal="center" vertical="center"/>
    </xf>
    <xf numFmtId="177" fontId="66" fillId="0" borderId="29" xfId="0" applyNumberFormat="1" applyFont="1" applyFill="1" applyBorder="1" applyAlignment="1">
      <alignment horizontal="center" vertical="center"/>
    </xf>
    <xf numFmtId="181" fontId="66" fillId="0" borderId="36" xfId="0" applyNumberFormat="1" applyFont="1" applyBorder="1" applyAlignment="1" applyProtection="1">
      <alignment horizontal="center" vertical="center"/>
      <protection/>
    </xf>
    <xf numFmtId="177" fontId="66" fillId="0" borderId="40" xfId="0" applyNumberFormat="1" applyFont="1" applyFill="1" applyBorder="1" applyAlignment="1">
      <alignment horizontal="center" vertical="center"/>
    </xf>
    <xf numFmtId="177" fontId="66" fillId="0" borderId="45" xfId="0" applyNumberFormat="1" applyFont="1" applyFill="1" applyBorder="1" applyAlignment="1">
      <alignment horizontal="center" vertical="center"/>
    </xf>
    <xf numFmtId="177" fontId="66" fillId="0" borderId="18" xfId="0" applyNumberFormat="1" applyFont="1" applyFill="1" applyBorder="1" applyAlignment="1">
      <alignment horizontal="center" vertical="center"/>
    </xf>
    <xf numFmtId="177" fontId="66" fillId="0" borderId="49" xfId="0" applyNumberFormat="1" applyFont="1" applyFill="1" applyBorder="1" applyAlignment="1" applyProtection="1">
      <alignment horizontal="center" vertical="center"/>
      <protection locked="0"/>
    </xf>
    <xf numFmtId="181" fontId="6" fillId="0" borderId="47" xfId="0" applyNumberFormat="1" applyFont="1" applyFill="1" applyBorder="1" applyAlignment="1">
      <alignment horizontal="centerContinuous" vertical="center"/>
    </xf>
    <xf numFmtId="181" fontId="6" fillId="0" borderId="38" xfId="0" applyNumberFormat="1" applyFont="1" applyFill="1" applyBorder="1" applyAlignment="1">
      <alignment horizontal="centerContinuous" vertical="center"/>
    </xf>
    <xf numFmtId="39" fontId="6" fillId="0" borderId="25" xfId="0" applyNumberFormat="1" applyFont="1" applyFill="1" applyBorder="1" applyAlignment="1">
      <alignment horizontal="center" vertical="center"/>
    </xf>
    <xf numFmtId="39" fontId="6" fillId="0" borderId="36" xfId="0" applyNumberFormat="1" applyFont="1" applyFill="1" applyBorder="1" applyAlignment="1">
      <alignment horizontal="center" vertical="center"/>
    </xf>
    <xf numFmtId="39" fontId="66" fillId="0" borderId="58" xfId="0" applyNumberFormat="1" applyFont="1" applyFill="1" applyBorder="1" applyAlignment="1">
      <alignment horizontal="right" vertical="center"/>
    </xf>
    <xf numFmtId="39" fontId="6" fillId="0" borderId="24" xfId="0" applyNumberFormat="1" applyFont="1" applyFill="1" applyBorder="1" applyAlignment="1">
      <alignment horizontal="center" vertical="center"/>
    </xf>
    <xf numFmtId="39" fontId="66" fillId="0" borderId="40" xfId="0" applyNumberFormat="1" applyFont="1" applyFill="1" applyBorder="1" applyAlignment="1">
      <alignment horizontal="right" vertical="center"/>
    </xf>
    <xf numFmtId="39" fontId="66" fillId="0" borderId="62" xfId="0" applyNumberFormat="1" applyFont="1" applyFill="1" applyBorder="1" applyAlignment="1">
      <alignment horizontal="right" vertical="center"/>
    </xf>
    <xf numFmtId="39" fontId="66" fillId="0" borderId="39" xfId="0" applyNumberFormat="1" applyFont="1" applyFill="1" applyBorder="1" applyAlignment="1">
      <alignment horizontal="right" vertical="center"/>
    </xf>
    <xf numFmtId="39" fontId="17" fillId="0" borderId="63" xfId="0" applyNumberFormat="1" applyFont="1" applyBorder="1" applyAlignment="1">
      <alignment horizontal="center" vertical="center"/>
    </xf>
    <xf numFmtId="39" fontId="66" fillId="0" borderId="62" xfId="0" applyNumberFormat="1" applyFont="1" applyBorder="1" applyAlignment="1">
      <alignment horizontal="right" vertical="center"/>
    </xf>
    <xf numFmtId="39" fontId="6" fillId="0" borderId="49" xfId="0" applyNumberFormat="1" applyFont="1" applyFill="1" applyBorder="1" applyAlignment="1">
      <alignment horizontal="center" vertical="center"/>
    </xf>
    <xf numFmtId="39" fontId="66" fillId="0" borderId="64" xfId="0" applyNumberFormat="1" applyFont="1" applyFill="1" applyBorder="1" applyAlignment="1">
      <alignment horizontal="right" vertical="center"/>
    </xf>
    <xf numFmtId="39" fontId="66" fillId="0" borderId="65" xfId="0" applyNumberFormat="1" applyFont="1" applyFill="1" applyBorder="1" applyAlignment="1" applyProtection="1">
      <alignment horizontal="center" vertical="center" shrinkToFit="1"/>
      <protection/>
    </xf>
    <xf numFmtId="39" fontId="66" fillId="0" borderId="65" xfId="0" applyNumberFormat="1" applyFont="1" applyFill="1" applyBorder="1" applyAlignment="1" applyProtection="1">
      <alignment horizontal="center" vertical="center" wrapText="1" shrinkToFit="1"/>
      <protection/>
    </xf>
    <xf numFmtId="39" fontId="66" fillId="0" borderId="66" xfId="0" applyNumberFormat="1" applyFont="1" applyFill="1" applyBorder="1" applyAlignment="1" applyProtection="1">
      <alignment horizontal="right" vertical="center"/>
      <protection/>
    </xf>
    <xf numFmtId="39" fontId="66" fillId="0" borderId="67" xfId="0" applyNumberFormat="1" applyFont="1" applyFill="1" applyBorder="1" applyAlignment="1" applyProtection="1">
      <alignment horizontal="center" vertical="center" shrinkToFit="1"/>
      <protection/>
    </xf>
    <xf numFmtId="39" fontId="66" fillId="0" borderId="65" xfId="0" applyNumberFormat="1" applyFont="1" applyFill="1" applyBorder="1" applyAlignment="1">
      <alignment horizontal="center" vertical="center" shrinkToFit="1"/>
    </xf>
    <xf numFmtId="39" fontId="66" fillId="0" borderId="65" xfId="0" applyNumberFormat="1" applyFont="1" applyFill="1" applyBorder="1" applyAlignment="1" applyProtection="1">
      <alignment horizontal="center" vertical="center" wrapText="1"/>
      <protection/>
    </xf>
    <xf numFmtId="39" fontId="68" fillId="0" borderId="65" xfId="0" applyNumberFormat="1" applyFont="1" applyFill="1" applyBorder="1" applyAlignment="1">
      <alignment horizontal="center" vertical="center" wrapText="1" shrinkToFit="1"/>
    </xf>
    <xf numFmtId="39" fontId="66" fillId="0" borderId="45" xfId="0" applyNumberFormat="1" applyFont="1" applyFill="1" applyBorder="1" applyAlignment="1" applyProtection="1">
      <alignment horizontal="right" vertical="center"/>
      <protection/>
    </xf>
    <xf numFmtId="39" fontId="66" fillId="0" borderId="45" xfId="0" applyNumberFormat="1" applyFont="1" applyFill="1" applyBorder="1" applyAlignment="1" applyProtection="1">
      <alignment horizontal="right" vertical="center" wrapText="1"/>
      <protection locked="0"/>
    </xf>
    <xf numFmtId="39" fontId="66" fillId="0" borderId="47" xfId="0" applyNumberFormat="1" applyFont="1" applyFill="1" applyBorder="1" applyAlignment="1">
      <alignment horizontal="right" vertical="center"/>
    </xf>
    <xf numFmtId="39" fontId="66" fillId="0" borderId="68" xfId="0" applyNumberFormat="1" applyFont="1" applyFill="1" applyBorder="1" applyAlignment="1" applyProtection="1">
      <alignment horizontal="right" vertical="center"/>
      <protection/>
    </xf>
    <xf numFmtId="39" fontId="66" fillId="0" borderId="69" xfId="0" applyNumberFormat="1" applyFont="1" applyFill="1" applyBorder="1" applyAlignment="1">
      <alignment horizontal="right" vertical="center"/>
    </xf>
    <xf numFmtId="39" fontId="66" fillId="0" borderId="47" xfId="0" applyNumberFormat="1" applyFont="1" applyFill="1" applyBorder="1" applyAlignment="1" applyProtection="1">
      <alignment horizontal="right" vertical="center"/>
      <protection locked="0"/>
    </xf>
    <xf numFmtId="39" fontId="66" fillId="0" borderId="27" xfId="0" applyNumberFormat="1" applyFont="1" applyFill="1" applyBorder="1" applyAlignment="1" applyProtection="1">
      <alignment horizontal="right" vertical="center"/>
      <protection/>
    </xf>
    <xf numFmtId="39" fontId="66" fillId="0" borderId="27" xfId="0" applyNumberFormat="1" applyFont="1" applyFill="1" applyBorder="1" applyAlignment="1" applyProtection="1">
      <alignment horizontal="right" vertical="center"/>
      <protection locked="0"/>
    </xf>
    <xf numFmtId="39" fontId="66" fillId="0" borderId="14" xfId="0" applyNumberFormat="1" applyFont="1" applyFill="1" applyBorder="1" applyAlignment="1">
      <alignment horizontal="right" vertical="center"/>
    </xf>
    <xf numFmtId="39" fontId="66" fillId="0" borderId="70" xfId="0" applyNumberFormat="1" applyFont="1" applyFill="1" applyBorder="1" applyAlignment="1">
      <alignment horizontal="right" vertical="center"/>
    </xf>
    <xf numFmtId="39" fontId="66" fillId="0" borderId="23" xfId="0" applyNumberFormat="1" applyFont="1" applyFill="1" applyBorder="1" applyAlignment="1">
      <alignment horizontal="right" vertical="center"/>
    </xf>
    <xf numFmtId="39" fontId="66" fillId="0" borderId="65" xfId="0" applyNumberFormat="1" applyFont="1" applyFill="1" applyBorder="1" applyAlignment="1">
      <alignment horizontal="right" vertical="center"/>
    </xf>
    <xf numFmtId="39" fontId="66" fillId="0" borderId="67" xfId="0" applyNumberFormat="1" applyFont="1" applyFill="1" applyBorder="1" applyAlignment="1">
      <alignment horizontal="right" vertical="center"/>
    </xf>
    <xf numFmtId="39" fontId="66" fillId="0" borderId="65" xfId="0" applyNumberFormat="1" applyFont="1" applyFill="1" applyBorder="1" applyAlignment="1" applyProtection="1">
      <alignment horizontal="right" vertical="center"/>
      <protection locked="0"/>
    </xf>
    <xf numFmtId="39" fontId="66" fillId="0" borderId="45" xfId="0" applyNumberFormat="1" applyFont="1" applyFill="1" applyBorder="1" applyAlignment="1" applyProtection="1">
      <alignment horizontal="right" vertical="center"/>
      <protection locked="0"/>
    </xf>
    <xf numFmtId="39" fontId="66" fillId="0" borderId="51" xfId="0" applyNumberFormat="1" applyFont="1" applyFill="1" applyBorder="1" applyAlignment="1" applyProtection="1">
      <alignment horizontal="right" vertical="center"/>
      <protection/>
    </xf>
    <xf numFmtId="39" fontId="66" fillId="0" borderId="70" xfId="0" applyNumberFormat="1" applyFont="1" applyFill="1" applyBorder="1" applyAlignment="1" applyProtection="1">
      <alignment horizontal="right" vertical="center"/>
      <protection/>
    </xf>
    <xf numFmtId="39" fontId="66" fillId="0" borderId="23" xfId="0" applyNumberFormat="1" applyFont="1" applyFill="1" applyBorder="1" applyAlignment="1" applyProtection="1">
      <alignment horizontal="right" vertical="center"/>
      <protection locked="0"/>
    </xf>
    <xf numFmtId="39" fontId="66" fillId="0" borderId="14" xfId="0" applyNumberFormat="1" applyFont="1" applyFill="1" applyBorder="1" applyAlignment="1" applyProtection="1">
      <alignment horizontal="right" vertical="center"/>
      <protection locked="0"/>
    </xf>
    <xf numFmtId="39" fontId="66" fillId="0" borderId="18" xfId="0" applyNumberFormat="1" applyFont="1" applyFill="1" applyBorder="1" applyAlignment="1" applyProtection="1">
      <alignment horizontal="right" vertical="center"/>
      <protection/>
    </xf>
    <xf numFmtId="39" fontId="66" fillId="0" borderId="65" xfId="0" applyNumberFormat="1" applyFont="1" applyBorder="1" applyAlignment="1">
      <alignment horizontal="right" vertical="center"/>
    </xf>
    <xf numFmtId="39" fontId="66" fillId="0" borderId="66" xfId="0" applyNumberFormat="1" applyFont="1" applyBorder="1" applyAlignment="1" applyProtection="1">
      <alignment horizontal="right" vertical="center"/>
      <protection/>
    </xf>
    <xf numFmtId="39" fontId="66" fillId="0" borderId="67" xfId="0" applyNumberFormat="1" applyFont="1" applyBorder="1" applyAlignment="1">
      <alignment horizontal="right" vertical="center"/>
    </xf>
    <xf numFmtId="39" fontId="66" fillId="0" borderId="65" xfId="0" applyNumberFormat="1" applyFont="1" applyBorder="1" applyAlignment="1" applyProtection="1">
      <alignment horizontal="right" vertical="center"/>
      <protection locked="0"/>
    </xf>
    <xf numFmtId="39" fontId="66" fillId="0" borderId="45" xfId="0" applyNumberFormat="1" applyFont="1" applyBorder="1" applyAlignment="1" applyProtection="1">
      <alignment horizontal="right" vertical="center"/>
      <protection/>
    </xf>
    <xf numFmtId="39" fontId="66" fillId="0" borderId="45" xfId="0" applyNumberFormat="1" applyFont="1" applyBorder="1" applyAlignment="1" applyProtection="1">
      <alignment horizontal="right" vertical="center"/>
      <protection locked="0"/>
    </xf>
    <xf numFmtId="39" fontId="66" fillId="0" borderId="69" xfId="0" applyNumberFormat="1" applyFont="1" applyFill="1" applyBorder="1" applyAlignment="1">
      <alignment vertical="center"/>
    </xf>
    <xf numFmtId="39" fontId="66" fillId="0" borderId="47" xfId="0" applyNumberFormat="1" applyFont="1" applyFill="1" applyBorder="1" applyAlignment="1" applyProtection="1">
      <alignment vertical="center"/>
      <protection locked="0"/>
    </xf>
    <xf numFmtId="39" fontId="66" fillId="0" borderId="47" xfId="0" applyNumberFormat="1" applyFont="1" applyFill="1" applyBorder="1" applyAlignment="1">
      <alignment vertical="center"/>
    </xf>
    <xf numFmtId="39" fontId="66" fillId="0" borderId="71" xfId="0" applyNumberFormat="1" applyFont="1" applyFill="1" applyBorder="1" applyAlignment="1">
      <alignment horizontal="right" vertical="center"/>
    </xf>
    <xf numFmtId="39" fontId="66" fillId="0" borderId="72" xfId="0" applyNumberFormat="1" applyFont="1" applyFill="1" applyBorder="1" applyAlignment="1">
      <alignment horizontal="right" vertical="center"/>
    </xf>
    <xf numFmtId="39" fontId="66" fillId="0" borderId="73" xfId="0" applyNumberFormat="1" applyFont="1" applyFill="1" applyBorder="1" applyAlignment="1">
      <alignment horizontal="right" vertical="center"/>
    </xf>
    <xf numFmtId="39" fontId="66" fillId="0" borderId="50" xfId="0" applyNumberFormat="1" applyFont="1" applyFill="1" applyBorder="1" applyAlignment="1">
      <alignment horizontal="right" vertical="center"/>
    </xf>
    <xf numFmtId="195" fontId="66" fillId="0" borderId="62" xfId="0" applyNumberFormat="1" applyFont="1" applyFill="1" applyBorder="1" applyAlignment="1" applyProtection="1">
      <alignment horizontal="right" vertical="center"/>
      <protection/>
    </xf>
    <xf numFmtId="195" fontId="66" fillId="0" borderId="65" xfId="0" applyNumberFormat="1" applyFont="1" applyFill="1" applyBorder="1" applyAlignment="1" applyProtection="1">
      <alignment horizontal="right" vertical="center"/>
      <protection/>
    </xf>
    <xf numFmtId="195" fontId="66" fillId="0" borderId="68" xfId="0" applyNumberFormat="1" applyFont="1" applyFill="1" applyBorder="1" applyAlignment="1" applyProtection="1">
      <alignment horizontal="right" vertical="center"/>
      <protection/>
    </xf>
    <xf numFmtId="195" fontId="66" fillId="0" borderId="74" xfId="0" applyNumberFormat="1" applyFont="1" applyFill="1" applyBorder="1" applyAlignment="1" applyProtection="1">
      <alignment horizontal="right" vertical="center"/>
      <protection/>
    </xf>
    <xf numFmtId="195" fontId="66" fillId="0" borderId="75" xfId="0" applyNumberFormat="1" applyFont="1" applyFill="1" applyBorder="1" applyAlignment="1" applyProtection="1">
      <alignment horizontal="right" vertical="center"/>
      <protection/>
    </xf>
    <xf numFmtId="195" fontId="66" fillId="0" borderId="75" xfId="0" applyNumberFormat="1" applyFont="1" applyFill="1" applyBorder="1" applyAlignment="1">
      <alignment horizontal="right" vertical="center"/>
    </xf>
    <xf numFmtId="195" fontId="66" fillId="0" borderId="45" xfId="0" applyNumberFormat="1" applyFont="1" applyFill="1" applyBorder="1" applyAlignment="1">
      <alignment horizontal="right" vertical="center"/>
    </xf>
    <xf numFmtId="195" fontId="66" fillId="0" borderId="45" xfId="0" applyNumberFormat="1" applyFont="1" applyFill="1" applyBorder="1" applyAlignment="1" applyProtection="1">
      <alignment horizontal="right" vertical="center"/>
      <protection locked="0"/>
    </xf>
    <xf numFmtId="195" fontId="66" fillId="0" borderId="58" xfId="0" applyNumberFormat="1" applyFont="1" applyFill="1" applyBorder="1" applyAlignment="1" applyProtection="1">
      <alignment horizontal="right" vertical="center" wrapText="1" shrinkToFit="1"/>
      <protection/>
    </xf>
    <xf numFmtId="195" fontId="66" fillId="0" borderId="47" xfId="0" applyNumberFormat="1" applyFont="1" applyFill="1" applyBorder="1" applyAlignment="1" applyProtection="1">
      <alignment horizontal="right" vertical="center" wrapText="1" shrinkToFit="1"/>
      <protection/>
    </xf>
    <xf numFmtId="195" fontId="68" fillId="0" borderId="47" xfId="0" applyNumberFormat="1" applyFont="1" applyFill="1" applyBorder="1" applyAlignment="1" applyProtection="1">
      <alignment horizontal="right" vertical="center" wrapText="1" shrinkToFit="1"/>
      <protection/>
    </xf>
    <xf numFmtId="195" fontId="68" fillId="0" borderId="47" xfId="0" applyNumberFormat="1" applyFont="1" applyFill="1" applyBorder="1" applyAlignment="1" applyProtection="1">
      <alignment horizontal="right" vertical="center" wrapText="1"/>
      <protection/>
    </xf>
    <xf numFmtId="195" fontId="69" fillId="0" borderId="47" xfId="0" applyNumberFormat="1" applyFont="1" applyFill="1" applyBorder="1" applyAlignment="1">
      <alignment horizontal="right" vertical="center" wrapText="1" shrinkToFit="1"/>
    </xf>
    <xf numFmtId="195" fontId="66" fillId="0" borderId="47" xfId="0" applyNumberFormat="1" applyFont="1" applyFill="1" applyBorder="1" applyAlignment="1">
      <alignment horizontal="right" vertical="center" wrapText="1" shrinkToFit="1"/>
    </xf>
    <xf numFmtId="195" fontId="70" fillId="0" borderId="47" xfId="0" applyNumberFormat="1" applyFont="1" applyFill="1" applyBorder="1" applyAlignment="1">
      <alignment horizontal="right" vertical="center" wrapText="1" shrinkToFit="1"/>
    </xf>
    <xf numFmtId="195" fontId="71" fillId="0" borderId="47" xfId="0" applyNumberFormat="1" applyFont="1" applyFill="1" applyBorder="1" applyAlignment="1">
      <alignment horizontal="right" vertical="center" wrapText="1" shrinkToFit="1"/>
    </xf>
    <xf numFmtId="195" fontId="66" fillId="0" borderId="27" xfId="0" applyNumberFormat="1" applyFont="1" applyFill="1" applyBorder="1" applyAlignment="1">
      <alignment horizontal="right" vertical="center"/>
    </xf>
    <xf numFmtId="195" fontId="66" fillId="0" borderId="27" xfId="0" applyNumberFormat="1" applyFont="1" applyFill="1" applyBorder="1" applyAlignment="1" applyProtection="1">
      <alignment horizontal="right" vertical="center" wrapText="1"/>
      <protection locked="0"/>
    </xf>
    <xf numFmtId="195" fontId="66" fillId="0" borderId="58" xfId="0" applyNumberFormat="1" applyFont="1" applyFill="1" applyBorder="1" applyAlignment="1" applyProtection="1">
      <alignment horizontal="right" vertical="center"/>
      <protection/>
    </xf>
    <xf numFmtId="195" fontId="66" fillId="0" borderId="47" xfId="0" applyNumberFormat="1" applyFont="1" applyFill="1" applyBorder="1" applyAlignment="1" applyProtection="1">
      <alignment horizontal="right" vertical="center"/>
      <protection/>
    </xf>
    <xf numFmtId="195" fontId="66" fillId="0" borderId="47" xfId="0" applyNumberFormat="1" applyFont="1" applyFill="1" applyBorder="1" applyAlignment="1">
      <alignment horizontal="right" vertical="center"/>
    </xf>
    <xf numFmtId="195" fontId="66" fillId="0" borderId="27" xfId="0" applyNumberFormat="1" applyFont="1" applyFill="1" applyBorder="1" applyAlignment="1" applyProtection="1">
      <alignment horizontal="right" vertical="center"/>
      <protection locked="0"/>
    </xf>
    <xf numFmtId="195" fontId="66" fillId="0" borderId="53" xfId="0" applyNumberFormat="1" applyFont="1" applyFill="1" applyBorder="1" applyAlignment="1">
      <alignment horizontal="right" vertical="center"/>
    </xf>
    <xf numFmtId="195" fontId="66" fillId="0" borderId="20" xfId="0" applyNumberFormat="1" applyFont="1" applyFill="1" applyBorder="1" applyAlignment="1">
      <alignment horizontal="right" vertical="center"/>
    </xf>
    <xf numFmtId="195" fontId="66" fillId="0" borderId="76" xfId="0" applyNumberFormat="1" applyFont="1" applyFill="1" applyBorder="1" applyAlignment="1" applyProtection="1">
      <alignment horizontal="right" vertical="center"/>
      <protection/>
    </xf>
    <xf numFmtId="195" fontId="66" fillId="0" borderId="42" xfId="0" applyNumberFormat="1" applyFont="1" applyFill="1" applyBorder="1" applyAlignment="1">
      <alignment horizontal="right" vertical="center"/>
    </xf>
    <xf numFmtId="195" fontId="66" fillId="0" borderId="60" xfId="0" applyNumberFormat="1" applyFont="1" applyFill="1" applyBorder="1" applyAlignment="1">
      <alignment horizontal="right" vertical="center"/>
    </xf>
    <xf numFmtId="195" fontId="66" fillId="0" borderId="66" xfId="0" applyNumberFormat="1" applyFont="1" applyFill="1" applyBorder="1" applyAlignment="1" applyProtection="1">
      <alignment horizontal="right" vertical="center"/>
      <protection/>
    </xf>
    <xf numFmtId="195" fontId="66" fillId="0" borderId="65" xfId="0" applyNumberFormat="1" applyFont="1" applyFill="1" applyBorder="1" applyAlignment="1">
      <alignment horizontal="right" vertical="center"/>
    </xf>
    <xf numFmtId="195" fontId="66" fillId="0" borderId="39" xfId="0" applyNumberFormat="1" applyFont="1" applyFill="1" applyBorder="1" applyAlignment="1">
      <alignment horizontal="right" vertical="center"/>
    </xf>
    <xf numFmtId="195" fontId="66" fillId="0" borderId="14" xfId="0" applyNumberFormat="1" applyFont="1" applyFill="1" applyBorder="1" applyAlignment="1">
      <alignment horizontal="right" vertical="center"/>
    </xf>
    <xf numFmtId="195" fontId="66" fillId="0" borderId="70" xfId="0" applyNumberFormat="1" applyFont="1" applyFill="1" applyBorder="1" applyAlignment="1" applyProtection="1">
      <alignment horizontal="right" vertical="center"/>
      <protection/>
    </xf>
    <xf numFmtId="195" fontId="66" fillId="0" borderId="18" xfId="0" applyNumberFormat="1" applyFont="1" applyFill="1" applyBorder="1" applyAlignment="1" applyProtection="1">
      <alignment horizontal="right" vertical="center"/>
      <protection/>
    </xf>
    <xf numFmtId="195" fontId="66" fillId="0" borderId="51" xfId="0" applyNumberFormat="1" applyFont="1" applyFill="1" applyBorder="1" applyAlignment="1" applyProtection="1">
      <alignment horizontal="right" vertical="center"/>
      <protection/>
    </xf>
    <xf numFmtId="195" fontId="66" fillId="0" borderId="77" xfId="0" applyNumberFormat="1" applyFont="1" applyFill="1" applyBorder="1" applyAlignment="1">
      <alignment horizontal="right" vertical="center"/>
    </xf>
    <xf numFmtId="195" fontId="66" fillId="0" borderId="78" xfId="0" applyNumberFormat="1" applyFont="1" applyFill="1" applyBorder="1" applyAlignment="1">
      <alignment horizontal="right" vertical="center"/>
    </xf>
    <xf numFmtId="195" fontId="66" fillId="0" borderId="11" xfId="0" applyNumberFormat="1" applyFont="1" applyFill="1" applyBorder="1" applyAlignment="1" applyProtection="1">
      <alignment horizontal="right" vertical="center"/>
      <protection/>
    </xf>
    <xf numFmtId="195" fontId="66" fillId="0" borderId="12" xfId="0" applyNumberFormat="1" applyFont="1" applyFill="1" applyBorder="1" applyAlignment="1" applyProtection="1">
      <alignment horizontal="right" vertical="center"/>
      <protection/>
    </xf>
    <xf numFmtId="195" fontId="66" fillId="0" borderId="64" xfId="0" applyNumberFormat="1" applyFont="1" applyFill="1" applyBorder="1" applyAlignment="1">
      <alignment horizontal="right" vertical="center"/>
    </xf>
    <xf numFmtId="195" fontId="66" fillId="0" borderId="71" xfId="0" applyNumberFormat="1" applyFont="1" applyFill="1" applyBorder="1" applyAlignment="1">
      <alignment horizontal="right" vertical="center"/>
    </xf>
    <xf numFmtId="195" fontId="66" fillId="0" borderId="72" xfId="0" applyNumberFormat="1" applyFont="1" applyFill="1" applyBorder="1" applyAlignment="1">
      <alignment horizontal="right" vertical="center"/>
    </xf>
    <xf numFmtId="195" fontId="66" fillId="0" borderId="50" xfId="0" applyNumberFormat="1" applyFont="1" applyFill="1" applyBorder="1" applyAlignment="1">
      <alignment horizontal="right" vertical="center"/>
    </xf>
    <xf numFmtId="190" fontId="66" fillId="0" borderId="74" xfId="0" applyNumberFormat="1" applyFont="1" applyFill="1" applyBorder="1" applyAlignment="1" applyProtection="1">
      <alignment horizontal="right" vertical="center"/>
      <protection/>
    </xf>
    <xf numFmtId="190" fontId="66" fillId="0" borderId="75" xfId="0" applyNumberFormat="1" applyFont="1" applyFill="1" applyBorder="1" applyAlignment="1" applyProtection="1">
      <alignment horizontal="right" vertical="center"/>
      <protection/>
    </xf>
    <xf numFmtId="190" fontId="66" fillId="0" borderId="75" xfId="0" applyNumberFormat="1" applyFont="1" applyFill="1" applyBorder="1" applyAlignment="1">
      <alignment horizontal="right" vertical="center"/>
    </xf>
    <xf numFmtId="190" fontId="66" fillId="0" borderId="51" xfId="0" applyNumberFormat="1" applyFont="1" applyFill="1" applyBorder="1" applyAlignment="1" applyProtection="1">
      <alignment horizontal="right" vertical="center"/>
      <protection/>
    </xf>
    <xf numFmtId="190" fontId="66" fillId="0" borderId="28" xfId="0" applyNumberFormat="1" applyFont="1" applyFill="1" applyBorder="1" applyAlignment="1">
      <alignment horizontal="right" vertical="center"/>
    </xf>
    <xf numFmtId="190" fontId="66" fillId="0" borderId="79" xfId="0" applyNumberFormat="1" applyFont="1" applyFill="1" applyBorder="1" applyAlignment="1" applyProtection="1">
      <alignment horizontal="right" vertical="center"/>
      <protection locked="0"/>
    </xf>
    <xf numFmtId="190" fontId="66" fillId="0" borderId="28" xfId="0" applyNumberFormat="1" applyFont="1" applyFill="1" applyBorder="1" applyAlignment="1" applyProtection="1">
      <alignment horizontal="right" vertical="center"/>
      <protection locked="0"/>
    </xf>
    <xf numFmtId="190" fontId="66" fillId="0" borderId="14" xfId="0" applyNumberFormat="1" applyFont="1" applyFill="1" applyBorder="1" applyAlignment="1">
      <alignment horizontal="right" vertical="center"/>
    </xf>
    <xf numFmtId="190" fontId="66" fillId="0" borderId="17" xfId="0" applyNumberFormat="1" applyFont="1" applyFill="1" applyBorder="1" applyAlignment="1">
      <alignment horizontal="right" vertical="center"/>
    </xf>
    <xf numFmtId="190" fontId="66" fillId="0" borderId="35" xfId="0" applyNumberFormat="1" applyFont="1" applyFill="1" applyBorder="1" applyAlignment="1">
      <alignment horizontal="right" vertical="center"/>
    </xf>
    <xf numFmtId="190" fontId="66" fillId="0" borderId="21" xfId="0" applyNumberFormat="1" applyFont="1" applyFill="1" applyBorder="1" applyAlignment="1">
      <alignment horizontal="right" vertical="center"/>
    </xf>
    <xf numFmtId="190" fontId="66" fillId="0" borderId="70" xfId="0" applyNumberFormat="1" applyFont="1" applyFill="1" applyBorder="1" applyAlignment="1">
      <alignment horizontal="right" vertical="center"/>
    </xf>
    <xf numFmtId="190" fontId="66" fillId="0" borderId="47" xfId="0" applyNumberFormat="1" applyFont="1" applyFill="1" applyBorder="1" applyAlignment="1">
      <alignment horizontal="right" vertical="center"/>
    </xf>
    <xf numFmtId="190" fontId="66" fillId="0" borderId="38" xfId="0" applyNumberFormat="1" applyFont="1" applyFill="1" applyBorder="1" applyAlignment="1" applyProtection="1">
      <alignment horizontal="right" vertical="center"/>
      <protection locked="0"/>
    </xf>
    <xf numFmtId="190" fontId="66" fillId="0" borderId="27" xfId="0" applyNumberFormat="1" applyFont="1" applyFill="1" applyBorder="1" applyAlignment="1" applyProtection="1">
      <alignment horizontal="right" vertical="center"/>
      <protection locked="0"/>
    </xf>
    <xf numFmtId="190" fontId="66" fillId="0" borderId="23" xfId="0" applyNumberFormat="1" applyFont="1" applyFill="1" applyBorder="1" applyAlignment="1">
      <alignment horizontal="right" vertical="center"/>
    </xf>
    <xf numFmtId="190" fontId="66" fillId="0" borderId="50" xfId="0" applyNumberFormat="1" applyFont="1" applyFill="1" applyBorder="1" applyAlignment="1">
      <alignment horizontal="right" vertical="center"/>
    </xf>
    <xf numFmtId="190" fontId="66" fillId="0" borderId="74" xfId="0" applyNumberFormat="1" applyFont="1" applyFill="1" applyBorder="1" applyAlignment="1">
      <alignment vertical="center"/>
    </xf>
    <xf numFmtId="190" fontId="66" fillId="0" borderId="75" xfId="0" applyNumberFormat="1" applyFont="1" applyFill="1" applyBorder="1" applyAlignment="1">
      <alignment vertical="center"/>
    </xf>
    <xf numFmtId="190" fontId="66" fillId="0" borderId="75" xfId="0" applyNumberFormat="1" applyFont="1" applyFill="1" applyBorder="1" applyAlignment="1" applyProtection="1">
      <alignment vertical="center"/>
      <protection locked="0"/>
    </xf>
    <xf numFmtId="190" fontId="66" fillId="0" borderId="51" xfId="0" applyNumberFormat="1" applyFont="1" applyFill="1" applyBorder="1" applyAlignment="1" applyProtection="1">
      <alignment vertical="center"/>
      <protection/>
    </xf>
    <xf numFmtId="190" fontId="66" fillId="0" borderId="74" xfId="0" applyNumberFormat="1" applyFont="1" applyFill="1" applyBorder="1" applyAlignment="1" applyProtection="1">
      <alignment vertical="center"/>
      <protection locked="0"/>
    </xf>
    <xf numFmtId="190" fontId="66" fillId="0" borderId="80" xfId="0" applyNumberFormat="1" applyFont="1" applyFill="1" applyBorder="1" applyAlignment="1" applyProtection="1">
      <alignment vertical="center"/>
      <protection/>
    </xf>
    <xf numFmtId="190" fontId="66" fillId="0" borderId="28" xfId="0" applyNumberFormat="1" applyFont="1" applyFill="1" applyBorder="1" applyAlignment="1" applyProtection="1">
      <alignment vertical="center"/>
      <protection locked="0"/>
    </xf>
    <xf numFmtId="190" fontId="66" fillId="0" borderId="80" xfId="0" applyNumberFormat="1" applyFont="1" applyFill="1" applyBorder="1" applyAlignment="1" applyProtection="1">
      <alignment vertical="center"/>
      <protection locked="0"/>
    </xf>
    <xf numFmtId="190" fontId="66" fillId="0" borderId="58" xfId="0" applyNumberFormat="1" applyFont="1" applyFill="1" applyBorder="1" applyAlignment="1">
      <alignment vertical="center"/>
    </xf>
    <xf numFmtId="190" fontId="66" fillId="0" borderId="47" xfId="0" applyNumberFormat="1" applyFont="1" applyFill="1" applyBorder="1" applyAlignment="1">
      <alignment vertical="center"/>
    </xf>
    <xf numFmtId="190" fontId="66" fillId="0" borderId="47" xfId="0" applyNumberFormat="1" applyFont="1" applyFill="1" applyBorder="1" applyAlignment="1" applyProtection="1">
      <alignment vertical="center"/>
      <protection locked="0"/>
    </xf>
    <xf numFmtId="190" fontId="66" fillId="0" borderId="58" xfId="0" applyNumberFormat="1" applyFont="1" applyFill="1" applyBorder="1" applyAlignment="1" applyProtection="1">
      <alignment vertical="center"/>
      <protection locked="0"/>
    </xf>
    <xf numFmtId="190" fontId="66" fillId="0" borderId="27" xfId="0" applyNumberFormat="1" applyFont="1" applyFill="1" applyBorder="1" applyAlignment="1" applyProtection="1">
      <alignment vertical="center"/>
      <protection locked="0"/>
    </xf>
    <xf numFmtId="190" fontId="66" fillId="0" borderId="81" xfId="0" applyNumberFormat="1" applyFont="1" applyFill="1" applyBorder="1" applyAlignment="1" applyProtection="1">
      <alignment vertical="center"/>
      <protection locked="0"/>
    </xf>
    <xf numFmtId="190" fontId="66" fillId="0" borderId="53" xfId="0" applyNumberFormat="1" applyFont="1" applyFill="1" applyBorder="1" applyAlignment="1" applyProtection="1">
      <alignment vertical="center"/>
      <protection/>
    </xf>
    <xf numFmtId="190" fontId="66" fillId="0" borderId="20" xfId="0" applyNumberFormat="1" applyFont="1" applyFill="1" applyBorder="1" applyAlignment="1" applyProtection="1">
      <alignment vertical="center"/>
      <protection/>
    </xf>
    <xf numFmtId="190" fontId="66" fillId="0" borderId="76" xfId="0" applyNumberFormat="1" applyFont="1" applyFill="1" applyBorder="1" applyAlignment="1" applyProtection="1">
      <alignment vertical="center"/>
      <protection/>
    </xf>
    <xf numFmtId="190" fontId="66" fillId="0" borderId="11" xfId="0" applyNumberFormat="1" applyFont="1" applyFill="1" applyBorder="1" applyAlignment="1" applyProtection="1">
      <alignment vertical="center"/>
      <protection/>
    </xf>
    <xf numFmtId="190" fontId="66" fillId="0" borderId="31" xfId="0" applyNumberFormat="1" applyFont="1" applyFill="1" applyBorder="1" applyAlignment="1" applyProtection="1">
      <alignment vertical="center"/>
      <protection/>
    </xf>
    <xf numFmtId="190" fontId="66" fillId="0" borderId="62" xfId="0" applyNumberFormat="1" applyFont="1" applyFill="1" applyBorder="1" applyAlignment="1">
      <alignment vertical="center"/>
    </xf>
    <xf numFmtId="190" fontId="66" fillId="0" borderId="65" xfId="0" applyNumberFormat="1" applyFont="1" applyFill="1" applyBorder="1" applyAlignment="1">
      <alignment vertical="center"/>
    </xf>
    <xf numFmtId="190" fontId="66" fillId="0" borderId="65" xfId="0" applyNumberFormat="1" applyFont="1" applyFill="1" applyBorder="1" applyAlignment="1" applyProtection="1">
      <alignment vertical="center"/>
      <protection locked="0"/>
    </xf>
    <xf numFmtId="190" fontId="66" fillId="0" borderId="66" xfId="0" applyNumberFormat="1" applyFont="1" applyFill="1" applyBorder="1" applyAlignment="1" applyProtection="1">
      <alignment vertical="center"/>
      <protection/>
    </xf>
    <xf numFmtId="190" fontId="66" fillId="0" borderId="62" xfId="0" applyNumberFormat="1" applyFont="1" applyFill="1" applyBorder="1" applyAlignment="1" applyProtection="1">
      <alignment vertical="center"/>
      <protection locked="0"/>
    </xf>
    <xf numFmtId="190" fontId="66" fillId="0" borderId="82" xfId="0" applyNumberFormat="1" applyFont="1" applyFill="1" applyBorder="1" applyAlignment="1" applyProtection="1">
      <alignment vertical="center"/>
      <protection/>
    </xf>
    <xf numFmtId="190" fontId="66" fillId="0" borderId="45" xfId="0" applyNumberFormat="1" applyFont="1" applyFill="1" applyBorder="1" applyAlignment="1" applyProtection="1">
      <alignment vertical="center"/>
      <protection locked="0"/>
    </xf>
    <xf numFmtId="190" fontId="66" fillId="0" borderId="82" xfId="0" applyNumberFormat="1" applyFont="1" applyFill="1" applyBorder="1" applyAlignment="1" applyProtection="1">
      <alignment vertical="center"/>
      <protection locked="0"/>
    </xf>
    <xf numFmtId="190" fontId="66" fillId="0" borderId="39" xfId="0" applyNumberFormat="1" applyFont="1" applyFill="1" applyBorder="1" applyAlignment="1" applyProtection="1">
      <alignment vertical="center"/>
      <protection/>
    </xf>
    <xf numFmtId="190" fontId="66" fillId="0" borderId="14" xfId="0" applyNumberFormat="1" applyFont="1" applyFill="1" applyBorder="1" applyAlignment="1" applyProtection="1">
      <alignment vertical="center"/>
      <protection/>
    </xf>
    <xf numFmtId="190" fontId="66" fillId="0" borderId="70" xfId="0" applyNumberFormat="1" applyFont="1" applyFill="1" applyBorder="1" applyAlignment="1" applyProtection="1">
      <alignment vertical="center"/>
      <protection/>
    </xf>
    <xf numFmtId="190" fontId="66" fillId="0" borderId="83" xfId="0" applyNumberFormat="1" applyFont="1" applyFill="1" applyBorder="1" applyAlignment="1" applyProtection="1">
      <alignment vertical="center"/>
      <protection/>
    </xf>
    <xf numFmtId="190" fontId="66" fillId="0" borderId="18" xfId="0" applyNumberFormat="1" applyFont="1" applyFill="1" applyBorder="1" applyAlignment="1" applyProtection="1">
      <alignment vertical="center"/>
      <protection/>
    </xf>
    <xf numFmtId="190" fontId="66" fillId="0" borderId="84" xfId="0" applyNumberFormat="1" applyFont="1" applyFill="1" applyBorder="1" applyAlignment="1">
      <alignment vertical="center"/>
    </xf>
    <xf numFmtId="190" fontId="66" fillId="0" borderId="85" xfId="0" applyNumberFormat="1" applyFont="1" applyFill="1" applyBorder="1" applyAlignment="1">
      <alignment vertical="center"/>
    </xf>
    <xf numFmtId="190" fontId="66" fillId="0" borderId="85" xfId="0" applyNumberFormat="1" applyFont="1" applyFill="1" applyBorder="1" applyAlignment="1" applyProtection="1">
      <alignment vertical="center"/>
      <protection locked="0"/>
    </xf>
    <xf numFmtId="190" fontId="66" fillId="0" borderId="86" xfId="0" applyNumberFormat="1" applyFont="1" applyFill="1" applyBorder="1" applyAlignment="1" applyProtection="1">
      <alignment vertical="center"/>
      <protection/>
    </xf>
    <xf numFmtId="190" fontId="66" fillId="0" borderId="84" xfId="0" applyNumberFormat="1" applyFont="1" applyFill="1" applyBorder="1" applyAlignment="1" applyProtection="1">
      <alignment vertical="center"/>
      <protection locked="0"/>
    </xf>
    <xf numFmtId="190" fontId="66" fillId="0" borderId="87" xfId="0" applyNumberFormat="1" applyFont="1" applyFill="1" applyBorder="1" applyAlignment="1" applyProtection="1">
      <alignment vertical="center"/>
      <protection/>
    </xf>
    <xf numFmtId="190" fontId="66" fillId="0" borderId="88" xfId="0" applyNumberFormat="1" applyFont="1" applyFill="1" applyBorder="1" applyAlignment="1" applyProtection="1">
      <alignment vertical="center"/>
      <protection locked="0"/>
    </xf>
    <xf numFmtId="190" fontId="66" fillId="0" borderId="87" xfId="0" applyNumberFormat="1" applyFont="1" applyFill="1" applyBorder="1" applyAlignment="1" applyProtection="1">
      <alignment vertical="center"/>
      <protection locked="0"/>
    </xf>
    <xf numFmtId="190" fontId="66" fillId="0" borderId="75" xfId="0" applyNumberFormat="1" applyFont="1" applyFill="1" applyBorder="1" applyAlignment="1" applyProtection="1">
      <alignment vertical="center" wrapText="1"/>
      <protection locked="0"/>
    </xf>
    <xf numFmtId="190" fontId="66" fillId="0" borderId="41" xfId="0" applyNumberFormat="1" applyFont="1" applyFill="1" applyBorder="1" applyAlignment="1" applyProtection="1">
      <alignment vertical="center"/>
      <protection/>
    </xf>
    <xf numFmtId="190" fontId="66" fillId="0" borderId="74" xfId="0" applyNumberFormat="1" applyFont="1" applyFill="1" applyBorder="1" applyAlignment="1">
      <alignment horizontal="right" vertical="center"/>
    </xf>
    <xf numFmtId="190" fontId="66" fillId="0" borderId="62" xfId="0" applyNumberFormat="1" applyFont="1" applyFill="1" applyBorder="1" applyAlignment="1">
      <alignment horizontal="right" vertical="center"/>
    </xf>
    <xf numFmtId="190" fontId="66" fillId="0" borderId="65" xfId="0" applyNumberFormat="1" applyFont="1" applyFill="1" applyBorder="1" applyAlignment="1">
      <alignment horizontal="right" vertical="center"/>
    </xf>
    <xf numFmtId="190" fontId="66" fillId="0" borderId="89" xfId="0" applyNumberFormat="1" applyFont="1" applyFill="1" applyBorder="1" applyAlignment="1" applyProtection="1">
      <alignment vertical="center"/>
      <protection/>
    </xf>
    <xf numFmtId="190" fontId="66" fillId="0" borderId="60" xfId="0" applyNumberFormat="1" applyFont="1" applyFill="1" applyBorder="1" applyAlignment="1" applyProtection="1">
      <alignment vertical="center"/>
      <protection/>
    </xf>
    <xf numFmtId="190" fontId="66" fillId="0" borderId="64" xfId="0" applyNumberFormat="1" applyFont="1" applyFill="1" applyBorder="1" applyAlignment="1" applyProtection="1">
      <alignment vertical="center"/>
      <protection/>
    </xf>
    <xf numFmtId="190" fontId="66" fillId="0" borderId="71" xfId="0" applyNumberFormat="1" applyFont="1" applyFill="1" applyBorder="1" applyAlignment="1" applyProtection="1">
      <alignment vertical="center"/>
      <protection/>
    </xf>
    <xf numFmtId="190" fontId="66" fillId="0" borderId="72" xfId="0" applyNumberFormat="1" applyFont="1" applyFill="1" applyBorder="1" applyAlignment="1" applyProtection="1">
      <alignment vertical="center"/>
      <protection/>
    </xf>
    <xf numFmtId="190" fontId="66" fillId="0" borderId="90" xfId="0" applyNumberFormat="1" applyFont="1" applyFill="1" applyBorder="1" applyAlignment="1" applyProtection="1">
      <alignment vertical="center"/>
      <protection/>
    </xf>
    <xf numFmtId="190" fontId="66" fillId="0" borderId="50" xfId="0" applyNumberFormat="1" applyFont="1" applyFill="1" applyBorder="1" applyAlignment="1" applyProtection="1">
      <alignment vertical="center"/>
      <protection/>
    </xf>
    <xf numFmtId="39" fontId="66" fillId="0" borderId="74" xfId="0" applyNumberFormat="1" applyFont="1" applyFill="1" applyBorder="1" applyAlignment="1" applyProtection="1">
      <alignment horizontal="right" vertical="center"/>
      <protection/>
    </xf>
    <xf numFmtId="39" fontId="66" fillId="0" borderId="75" xfId="0" applyNumberFormat="1" applyFont="1" applyFill="1" applyBorder="1" applyAlignment="1">
      <alignment horizontal="right" vertical="center"/>
    </xf>
    <xf numFmtId="39" fontId="66" fillId="0" borderId="51" xfId="0" applyNumberFormat="1" applyFont="1" applyFill="1" applyBorder="1" applyAlignment="1">
      <alignment horizontal="right" vertical="center"/>
    </xf>
    <xf numFmtId="39" fontId="66" fillId="0" borderId="75" xfId="0" applyNumberFormat="1" applyFont="1" applyFill="1" applyBorder="1" applyAlignment="1" applyProtection="1">
      <alignment horizontal="right" vertical="center"/>
      <protection/>
    </xf>
    <xf numFmtId="39" fontId="66" fillId="0" borderId="80" xfId="0" applyNumberFormat="1" applyFont="1" applyFill="1" applyBorder="1" applyAlignment="1">
      <alignment horizontal="right" vertical="center"/>
    </xf>
    <xf numFmtId="39" fontId="66" fillId="0" borderId="79" xfId="0" applyNumberFormat="1" applyFont="1" applyFill="1" applyBorder="1" applyAlignment="1" applyProtection="1">
      <alignment horizontal="right" vertical="center"/>
      <protection locked="0"/>
    </xf>
    <xf numFmtId="39" fontId="66" fillId="0" borderId="28" xfId="0" applyNumberFormat="1" applyFont="1" applyFill="1" applyBorder="1" applyAlignment="1" applyProtection="1">
      <alignment horizontal="right" vertical="center"/>
      <protection locked="0"/>
    </xf>
    <xf numFmtId="39" fontId="66" fillId="0" borderId="83" xfId="0" applyNumberFormat="1" applyFont="1" applyFill="1" applyBorder="1" applyAlignment="1" applyProtection="1">
      <alignment horizontal="right" vertical="center"/>
      <protection/>
    </xf>
    <xf numFmtId="39" fontId="66" fillId="0" borderId="37" xfId="0" applyNumberFormat="1" applyFont="1" applyFill="1" applyBorder="1" applyAlignment="1" applyProtection="1">
      <alignment horizontal="right" vertical="center"/>
      <protection/>
    </xf>
    <xf numFmtId="39" fontId="66" fillId="0" borderId="84" xfId="0" applyNumberFormat="1" applyFont="1" applyBorder="1" applyAlignment="1" applyProtection="1">
      <alignment horizontal="right" vertical="center"/>
      <protection/>
    </xf>
    <xf numFmtId="39" fontId="66" fillId="0" borderId="85" xfId="0" applyNumberFormat="1" applyFont="1" applyBorder="1" applyAlignment="1">
      <alignment horizontal="right" vertical="center"/>
    </xf>
    <xf numFmtId="39" fontId="66" fillId="0" borderId="86" xfId="0" applyNumberFormat="1" applyFont="1" applyBorder="1" applyAlignment="1">
      <alignment horizontal="right" vertical="center"/>
    </xf>
    <xf numFmtId="39" fontId="66" fillId="0" borderId="85" xfId="0" applyNumberFormat="1" applyFont="1" applyBorder="1" applyAlignment="1" applyProtection="1">
      <alignment horizontal="right" vertical="center"/>
      <protection/>
    </xf>
    <xf numFmtId="39" fontId="66" fillId="0" borderId="85" xfId="0" applyNumberFormat="1" applyFont="1" applyFill="1" applyBorder="1" applyAlignment="1" applyProtection="1">
      <alignment horizontal="right" vertical="center"/>
      <protection/>
    </xf>
    <xf numFmtId="39" fontId="66" fillId="0" borderId="86" xfId="0" applyNumberFormat="1" applyFont="1" applyFill="1" applyBorder="1" applyAlignment="1" applyProtection="1">
      <alignment horizontal="right" vertical="center"/>
      <protection/>
    </xf>
    <xf numFmtId="39" fontId="66" fillId="0" borderId="87" xfId="0" applyNumberFormat="1" applyFont="1" applyFill="1" applyBorder="1" applyAlignment="1">
      <alignment horizontal="right" vertical="center"/>
    </xf>
    <xf numFmtId="39" fontId="66" fillId="34" borderId="91" xfId="0" applyNumberFormat="1" applyFont="1" applyFill="1" applyBorder="1" applyAlignment="1" applyProtection="1">
      <alignment horizontal="right" vertical="center"/>
      <protection locked="0"/>
    </xf>
    <xf numFmtId="39" fontId="66" fillId="34" borderId="88" xfId="0" applyNumberFormat="1" applyFont="1" applyFill="1" applyBorder="1" applyAlignment="1" applyProtection="1">
      <alignment horizontal="right" vertical="center"/>
      <protection locked="0"/>
    </xf>
    <xf numFmtId="39" fontId="66" fillId="0" borderId="62" xfId="0" applyNumberFormat="1" applyFont="1" applyFill="1" applyBorder="1" applyAlignment="1" applyProtection="1">
      <alignment horizontal="right" vertical="center"/>
      <protection/>
    </xf>
    <xf numFmtId="39" fontId="66" fillId="0" borderId="66" xfId="0" applyNumberFormat="1" applyFont="1" applyFill="1" applyBorder="1" applyAlignment="1">
      <alignment horizontal="right" vertical="center"/>
    </xf>
    <xf numFmtId="39" fontId="66" fillId="0" borderId="65" xfId="0" applyNumberFormat="1" applyFont="1" applyFill="1" applyBorder="1" applyAlignment="1" applyProtection="1">
      <alignment horizontal="right" vertical="center"/>
      <protection/>
    </xf>
    <xf numFmtId="39" fontId="66" fillId="0" borderId="82" xfId="0" applyNumberFormat="1" applyFont="1" applyFill="1" applyBorder="1" applyAlignment="1">
      <alignment horizontal="right" vertical="center"/>
    </xf>
    <xf numFmtId="39" fontId="66" fillId="0" borderId="61" xfId="0" applyNumberFormat="1" applyFont="1" applyFill="1" applyBorder="1" applyAlignment="1" applyProtection="1">
      <alignment horizontal="right" vertical="center"/>
      <protection locked="0"/>
    </xf>
    <xf numFmtId="39" fontId="66" fillId="0" borderId="58" xfId="0" applyNumberFormat="1" applyFont="1" applyFill="1" applyBorder="1" applyAlignment="1" applyProtection="1">
      <alignment horizontal="right" vertical="center"/>
      <protection/>
    </xf>
    <xf numFmtId="39" fontId="66" fillId="0" borderId="47" xfId="0" applyNumberFormat="1" applyFont="1" applyFill="1" applyBorder="1" applyAlignment="1" applyProtection="1">
      <alignment horizontal="right" vertical="center"/>
      <protection/>
    </xf>
    <xf numFmtId="39" fontId="66" fillId="0" borderId="81" xfId="0" applyNumberFormat="1" applyFont="1" applyFill="1" applyBorder="1" applyAlignment="1">
      <alignment horizontal="right" vertical="center"/>
    </xf>
    <xf numFmtId="39" fontId="66" fillId="0" borderId="38" xfId="0" applyNumberFormat="1" applyFont="1" applyFill="1" applyBorder="1" applyAlignment="1" applyProtection="1">
      <alignment horizontal="right" vertical="center"/>
      <protection locked="0"/>
    </xf>
    <xf numFmtId="39" fontId="66" fillId="0" borderId="83" xfId="0" applyNumberFormat="1" applyFont="1" applyFill="1" applyBorder="1" applyAlignment="1">
      <alignment horizontal="right" vertical="center"/>
    </xf>
    <xf numFmtId="39" fontId="66" fillId="0" borderId="74" xfId="0" applyNumberFormat="1" applyFont="1" applyFill="1" applyBorder="1" applyAlignment="1">
      <alignment horizontal="right" vertical="center"/>
    </xf>
    <xf numFmtId="39" fontId="66" fillId="0" borderId="90" xfId="0" applyNumberFormat="1" applyFont="1" applyFill="1" applyBorder="1" applyAlignment="1">
      <alignment horizontal="right" vertical="center"/>
    </xf>
    <xf numFmtId="190" fontId="6" fillId="0" borderId="58" xfId="0" applyNumberFormat="1" applyFont="1" applyFill="1" applyBorder="1" applyAlignment="1">
      <alignment horizontal="right" vertical="center"/>
    </xf>
    <xf numFmtId="190" fontId="6" fillId="0" borderId="47" xfId="0" applyNumberFormat="1" applyFont="1" applyFill="1" applyBorder="1" applyAlignment="1">
      <alignment horizontal="right" vertical="center"/>
    </xf>
    <xf numFmtId="190" fontId="6" fillId="0" borderId="47" xfId="0" applyNumberFormat="1" applyFont="1" applyFill="1" applyBorder="1" applyAlignment="1" applyProtection="1">
      <alignment horizontal="right" vertical="center"/>
      <protection/>
    </xf>
    <xf numFmtId="190" fontId="6" fillId="0" borderId="68" xfId="0" applyNumberFormat="1" applyFont="1" applyFill="1" applyBorder="1" applyAlignment="1" applyProtection="1">
      <alignment horizontal="right" vertical="center"/>
      <protection/>
    </xf>
    <xf numFmtId="190" fontId="6" fillId="0" borderId="69" xfId="0" applyNumberFormat="1" applyFont="1" applyFill="1" applyBorder="1" applyAlignment="1">
      <alignment horizontal="right" vertical="center"/>
    </xf>
    <xf numFmtId="190" fontId="6" fillId="0" borderId="27" xfId="0" applyNumberFormat="1" applyFont="1" applyFill="1" applyBorder="1" applyAlignment="1">
      <alignment horizontal="right" vertical="center"/>
    </xf>
    <xf numFmtId="190" fontId="6" fillId="0" borderId="38" xfId="0" applyNumberFormat="1" applyFont="1" applyFill="1" applyBorder="1" applyAlignment="1" applyProtection="1">
      <alignment horizontal="right" vertical="center"/>
      <protection locked="0"/>
    </xf>
    <xf numFmtId="190" fontId="6" fillId="0" borderId="27" xfId="0" applyNumberFormat="1" applyFont="1" applyFill="1" applyBorder="1" applyAlignment="1" applyProtection="1">
      <alignment horizontal="right" vertical="center"/>
      <protection locked="0"/>
    </xf>
    <xf numFmtId="190" fontId="6" fillId="0" borderId="74" xfId="0" applyNumberFormat="1" applyFont="1" applyFill="1" applyBorder="1" applyAlignment="1">
      <alignment horizontal="right" vertical="center"/>
    </xf>
    <xf numFmtId="190" fontId="6" fillId="0" borderId="75" xfId="0" applyNumberFormat="1" applyFont="1" applyFill="1" applyBorder="1" applyAlignment="1">
      <alignment horizontal="right" vertical="center"/>
    </xf>
    <xf numFmtId="190" fontId="6" fillId="0" borderId="75" xfId="0" applyNumberFormat="1" applyFont="1" applyFill="1" applyBorder="1" applyAlignment="1" applyProtection="1">
      <alignment horizontal="right" vertical="center"/>
      <protection/>
    </xf>
    <xf numFmtId="190" fontId="6" fillId="0" borderId="51" xfId="0" applyNumberFormat="1" applyFont="1" applyFill="1" applyBorder="1" applyAlignment="1" applyProtection="1">
      <alignment horizontal="right" vertical="center"/>
      <protection/>
    </xf>
    <xf numFmtId="190" fontId="6" fillId="0" borderId="92" xfId="0" applyNumberFormat="1" applyFont="1" applyFill="1" applyBorder="1" applyAlignment="1">
      <alignment horizontal="right" vertical="center"/>
    </xf>
    <xf numFmtId="190" fontId="6" fillId="0" borderId="28" xfId="0" applyNumberFormat="1" applyFont="1" applyFill="1" applyBorder="1" applyAlignment="1">
      <alignment horizontal="right" vertical="center"/>
    </xf>
    <xf numFmtId="190" fontId="6" fillId="0" borderId="79" xfId="0" applyNumberFormat="1" applyFont="1" applyFill="1" applyBorder="1" applyAlignment="1" applyProtection="1">
      <alignment horizontal="right" vertical="center"/>
      <protection locked="0"/>
    </xf>
    <xf numFmtId="190" fontId="6" fillId="0" borderId="28" xfId="0" applyNumberFormat="1" applyFont="1" applyFill="1" applyBorder="1" applyAlignment="1" applyProtection="1">
      <alignment horizontal="right" vertical="center"/>
      <protection locked="0"/>
    </xf>
    <xf numFmtId="190" fontId="6" fillId="0" borderId="40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6" fillId="0" borderId="70" xfId="0" applyNumberFormat="1" applyFont="1" applyFill="1" applyBorder="1" applyAlignment="1">
      <alignment horizontal="right" vertical="center"/>
    </xf>
    <xf numFmtId="190" fontId="6" fillId="0" borderId="23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190" fontId="6" fillId="0" borderId="62" xfId="0" applyNumberFormat="1" applyFont="1" applyFill="1" applyBorder="1" applyAlignment="1">
      <alignment horizontal="right" vertical="center"/>
    </xf>
    <xf numFmtId="190" fontId="6" fillId="0" borderId="65" xfId="0" applyNumberFormat="1" applyFont="1" applyFill="1" applyBorder="1" applyAlignment="1">
      <alignment horizontal="right" vertical="center"/>
    </xf>
    <xf numFmtId="190" fontId="6" fillId="0" borderId="65" xfId="0" applyNumberFormat="1" applyFont="1" applyFill="1" applyBorder="1" applyAlignment="1" applyProtection="1">
      <alignment horizontal="right" vertical="center"/>
      <protection/>
    </xf>
    <xf numFmtId="190" fontId="6" fillId="0" borderId="66" xfId="0" applyNumberFormat="1" applyFont="1" applyFill="1" applyBorder="1" applyAlignment="1" applyProtection="1">
      <alignment horizontal="right" vertical="center"/>
      <protection/>
    </xf>
    <xf numFmtId="190" fontId="6" fillId="0" borderId="45" xfId="0" applyNumberFormat="1" applyFont="1" applyFill="1" applyBorder="1" applyAlignment="1">
      <alignment horizontal="right" vertical="center"/>
    </xf>
    <xf numFmtId="190" fontId="6" fillId="0" borderId="61" xfId="0" applyNumberFormat="1" applyFont="1" applyFill="1" applyBorder="1" applyAlignment="1" applyProtection="1">
      <alignment horizontal="right" vertical="center"/>
      <protection locked="0"/>
    </xf>
    <xf numFmtId="190" fontId="6" fillId="0" borderId="45" xfId="0" applyNumberFormat="1" applyFont="1" applyFill="1" applyBorder="1" applyAlignment="1" applyProtection="1">
      <alignment horizontal="right" vertical="center"/>
      <protection locked="0"/>
    </xf>
    <xf numFmtId="190" fontId="6" fillId="0" borderId="46" xfId="0" applyNumberFormat="1" applyFont="1" applyFill="1" applyBorder="1" applyAlignment="1">
      <alignment horizontal="right" vertical="center"/>
    </xf>
    <xf numFmtId="190" fontId="6" fillId="0" borderId="83" xfId="0" applyNumberFormat="1" applyFont="1" applyFill="1" applyBorder="1" applyAlignment="1">
      <alignment horizontal="right" vertical="center"/>
    </xf>
    <xf numFmtId="190" fontId="6" fillId="0" borderId="18" xfId="0" applyNumberFormat="1" applyFont="1" applyFill="1" applyBorder="1" applyAlignment="1">
      <alignment horizontal="right" vertical="center"/>
    </xf>
    <xf numFmtId="190" fontId="67" fillId="0" borderId="28" xfId="0" applyNumberFormat="1" applyFont="1" applyFill="1" applyBorder="1" applyAlignment="1" applyProtection="1">
      <alignment horizontal="right" vertical="center"/>
      <protection locked="0"/>
    </xf>
    <xf numFmtId="190" fontId="6" fillId="0" borderId="37" xfId="0" applyNumberFormat="1" applyFont="1" applyFill="1" applyBorder="1" applyAlignment="1">
      <alignment horizontal="right" vertical="center"/>
    </xf>
    <xf numFmtId="190" fontId="6" fillId="33" borderId="74" xfId="0" applyNumberFormat="1" applyFont="1" applyFill="1" applyBorder="1" applyAlignment="1">
      <alignment horizontal="right" vertical="center"/>
    </xf>
    <xf numFmtId="190" fontId="6" fillId="0" borderId="46" xfId="0" applyNumberFormat="1" applyFont="1" applyFill="1" applyBorder="1" applyAlignment="1" applyProtection="1">
      <alignment horizontal="right" vertical="center"/>
      <protection/>
    </xf>
    <xf numFmtId="190" fontId="6" fillId="0" borderId="81" xfId="0" applyNumberFormat="1" applyFont="1" applyFill="1" applyBorder="1" applyAlignment="1">
      <alignment horizontal="right" vertical="center"/>
    </xf>
    <xf numFmtId="190" fontId="6" fillId="33" borderId="38" xfId="0" applyNumberFormat="1" applyFont="1" applyFill="1" applyBorder="1" applyAlignment="1" applyProtection="1">
      <alignment horizontal="right" vertical="center"/>
      <protection locked="0"/>
    </xf>
    <xf numFmtId="190" fontId="6" fillId="0" borderId="26" xfId="0" applyNumberFormat="1" applyFont="1" applyFill="1" applyBorder="1" applyAlignment="1">
      <alignment horizontal="right" vertical="center"/>
    </xf>
    <xf numFmtId="190" fontId="6" fillId="0" borderId="64" xfId="0" applyNumberFormat="1" applyFont="1" applyFill="1" applyBorder="1" applyAlignment="1">
      <alignment horizontal="right" vertical="center"/>
    </xf>
    <xf numFmtId="190" fontId="6" fillId="0" borderId="71" xfId="0" applyNumberFormat="1" applyFont="1" applyFill="1" applyBorder="1" applyAlignment="1">
      <alignment horizontal="right" vertical="center"/>
    </xf>
    <xf numFmtId="190" fontId="6" fillId="0" borderId="72" xfId="0" applyNumberFormat="1" applyFont="1" applyFill="1" applyBorder="1" applyAlignment="1">
      <alignment horizontal="right" vertical="center"/>
    </xf>
    <xf numFmtId="190" fontId="6" fillId="0" borderId="35" xfId="0" applyNumberFormat="1" applyFont="1" applyFill="1" applyBorder="1" applyAlignment="1">
      <alignment horizontal="right" vertical="center"/>
    </xf>
    <xf numFmtId="190" fontId="69" fillId="0" borderId="74" xfId="0" applyNumberFormat="1" applyFont="1" applyFill="1" applyBorder="1" applyAlignment="1">
      <alignment horizontal="right" vertical="center"/>
    </xf>
    <xf numFmtId="190" fontId="69" fillId="0" borderId="75" xfId="0" applyNumberFormat="1" applyFont="1" applyFill="1" applyBorder="1" applyAlignment="1" applyProtection="1">
      <alignment horizontal="right" vertical="center"/>
      <protection/>
    </xf>
    <xf numFmtId="190" fontId="69" fillId="0" borderId="51" xfId="0" applyNumberFormat="1" applyFont="1" applyFill="1" applyBorder="1" applyAlignment="1">
      <alignment horizontal="right" vertical="center"/>
    </xf>
    <xf numFmtId="190" fontId="69" fillId="0" borderId="74" xfId="0" applyNumberFormat="1" applyFont="1" applyFill="1" applyBorder="1" applyAlignment="1" applyProtection="1">
      <alignment horizontal="right" vertical="center"/>
      <protection/>
    </xf>
    <xf numFmtId="190" fontId="69" fillId="0" borderId="79" xfId="0" applyNumberFormat="1" applyFont="1" applyFill="1" applyBorder="1" applyAlignment="1" applyProtection="1">
      <alignment horizontal="right" vertical="center"/>
      <protection/>
    </xf>
    <xf numFmtId="190" fontId="69" fillId="0" borderId="28" xfId="0" applyNumberFormat="1" applyFont="1" applyFill="1" applyBorder="1" applyAlignment="1">
      <alignment horizontal="right" vertical="center"/>
    </xf>
    <xf numFmtId="190" fontId="69" fillId="0" borderId="28" xfId="0" applyNumberFormat="1" applyFont="1" applyFill="1" applyBorder="1" applyAlignment="1" applyProtection="1">
      <alignment horizontal="right" vertical="center"/>
      <protection locked="0"/>
    </xf>
    <xf numFmtId="190" fontId="69" fillId="0" borderId="80" xfId="0" applyNumberFormat="1" applyFont="1" applyFill="1" applyBorder="1" applyAlignment="1" applyProtection="1">
      <alignment horizontal="right" vertical="center"/>
      <protection locked="0"/>
    </xf>
    <xf numFmtId="190" fontId="69" fillId="0" borderId="58" xfId="0" applyNumberFormat="1" applyFont="1" applyFill="1" applyBorder="1" applyAlignment="1">
      <alignment horizontal="right" vertical="center"/>
    </xf>
    <xf numFmtId="190" fontId="69" fillId="0" borderId="47" xfId="0" applyNumberFormat="1" applyFont="1" applyFill="1" applyBorder="1" applyAlignment="1" applyProtection="1">
      <alignment horizontal="right" vertical="center"/>
      <protection/>
    </xf>
    <xf numFmtId="190" fontId="69" fillId="0" borderId="58" xfId="0" applyNumberFormat="1" applyFont="1" applyFill="1" applyBorder="1" applyAlignment="1" applyProtection="1">
      <alignment horizontal="right" vertical="center"/>
      <protection/>
    </xf>
    <xf numFmtId="190" fontId="69" fillId="0" borderId="27" xfId="0" applyNumberFormat="1" applyFont="1" applyFill="1" applyBorder="1" applyAlignment="1">
      <alignment horizontal="right" vertical="center"/>
    </xf>
    <xf numFmtId="190" fontId="69" fillId="0" borderId="27" xfId="0" applyNumberFormat="1" applyFont="1" applyFill="1" applyBorder="1" applyAlignment="1" applyProtection="1">
      <alignment horizontal="right" vertical="center"/>
      <protection locked="0"/>
    </xf>
    <xf numFmtId="190" fontId="69" fillId="0" borderId="81" xfId="0" applyNumberFormat="1" applyFont="1" applyFill="1" applyBorder="1" applyAlignment="1" applyProtection="1">
      <alignment horizontal="right" vertical="center"/>
      <protection locked="0"/>
    </xf>
    <xf numFmtId="190" fontId="69" fillId="0" borderId="40" xfId="0" applyNumberFormat="1" applyFont="1" applyFill="1" applyBorder="1" applyAlignment="1">
      <alignment horizontal="right" vertical="center"/>
    </xf>
    <xf numFmtId="190" fontId="69" fillId="0" borderId="14" xfId="0" applyNumberFormat="1" applyFont="1" applyFill="1" applyBorder="1" applyAlignment="1">
      <alignment horizontal="right" vertical="center"/>
    </xf>
    <xf numFmtId="190" fontId="69" fillId="0" borderId="23" xfId="0" applyNumberFormat="1" applyFont="1" applyFill="1" applyBorder="1" applyAlignment="1">
      <alignment horizontal="right" vertical="center"/>
    </xf>
    <xf numFmtId="190" fontId="69" fillId="0" borderId="70" xfId="0" applyNumberFormat="1" applyFont="1" applyFill="1" applyBorder="1" applyAlignment="1">
      <alignment horizontal="right" vertical="center"/>
    </xf>
    <xf numFmtId="190" fontId="69" fillId="0" borderId="37" xfId="0" applyNumberFormat="1" applyFont="1" applyFill="1" applyBorder="1" applyAlignment="1">
      <alignment horizontal="right" vertical="center"/>
    </xf>
    <xf numFmtId="190" fontId="69" fillId="0" borderId="39" xfId="0" applyNumberFormat="1" applyFont="1" applyFill="1" applyBorder="1" applyAlignment="1">
      <alignment horizontal="right" vertical="center"/>
    </xf>
    <xf numFmtId="190" fontId="69" fillId="0" borderId="37" xfId="0" applyNumberFormat="1" applyFont="1" applyFill="1" applyBorder="1" applyAlignment="1" applyProtection="1">
      <alignment horizontal="right" vertical="center"/>
      <protection locked="0"/>
    </xf>
    <xf numFmtId="190" fontId="69" fillId="0" borderId="18" xfId="0" applyNumberFormat="1" applyFont="1" applyFill="1" applyBorder="1" applyAlignment="1" applyProtection="1">
      <alignment horizontal="right" vertical="center"/>
      <protection/>
    </xf>
    <xf numFmtId="190" fontId="69" fillId="0" borderId="37" xfId="0" applyNumberFormat="1" applyFont="1" applyFill="1" applyBorder="1" applyAlignment="1" applyProtection="1">
      <alignment horizontal="right" vertical="center"/>
      <protection/>
    </xf>
    <xf numFmtId="190" fontId="69" fillId="0" borderId="68" xfId="0" applyNumberFormat="1" applyFont="1" applyFill="1" applyBorder="1" applyAlignment="1">
      <alignment horizontal="right" vertical="center"/>
    </xf>
    <xf numFmtId="190" fontId="69" fillId="0" borderId="38" xfId="0" applyNumberFormat="1" applyFont="1" applyFill="1" applyBorder="1" applyAlignment="1" applyProtection="1">
      <alignment horizontal="right" vertical="center"/>
      <protection/>
    </xf>
    <xf numFmtId="190" fontId="69" fillId="0" borderId="62" xfId="0" applyNumberFormat="1" applyFont="1" applyFill="1" applyBorder="1" applyAlignment="1">
      <alignment horizontal="right" vertical="center"/>
    </xf>
    <xf numFmtId="190" fontId="69" fillId="0" borderId="65" xfId="0" applyNumberFormat="1" applyFont="1" applyFill="1" applyBorder="1" applyAlignment="1" applyProtection="1">
      <alignment horizontal="right" vertical="center"/>
      <protection/>
    </xf>
    <xf numFmtId="190" fontId="69" fillId="0" borderId="66" xfId="0" applyNumberFormat="1" applyFont="1" applyFill="1" applyBorder="1" applyAlignment="1">
      <alignment horizontal="right" vertical="center"/>
    </xf>
    <xf numFmtId="190" fontId="69" fillId="0" borderId="62" xfId="0" applyNumberFormat="1" applyFont="1" applyFill="1" applyBorder="1" applyAlignment="1" applyProtection="1">
      <alignment horizontal="right" vertical="center"/>
      <protection/>
    </xf>
    <xf numFmtId="190" fontId="69" fillId="0" borderId="61" xfId="0" applyNumberFormat="1" applyFont="1" applyFill="1" applyBorder="1" applyAlignment="1" applyProtection="1">
      <alignment horizontal="right" vertical="center"/>
      <protection/>
    </xf>
    <xf numFmtId="190" fontId="69" fillId="0" borderId="45" xfId="0" applyNumberFormat="1" applyFont="1" applyFill="1" applyBorder="1" applyAlignment="1">
      <alignment horizontal="right" vertical="center"/>
    </xf>
    <xf numFmtId="190" fontId="69" fillId="0" borderId="45" xfId="0" applyNumberFormat="1" applyFont="1" applyFill="1" applyBorder="1" applyAlignment="1" applyProtection="1">
      <alignment horizontal="right" vertical="center"/>
      <protection locked="0"/>
    </xf>
    <xf numFmtId="190" fontId="69" fillId="0" borderId="82" xfId="0" applyNumberFormat="1" applyFont="1" applyFill="1" applyBorder="1" applyAlignment="1" applyProtection="1">
      <alignment horizontal="right" vertical="center"/>
      <protection locked="0"/>
    </xf>
    <xf numFmtId="190" fontId="69" fillId="0" borderId="53" xfId="0" applyNumberFormat="1" applyFont="1" applyFill="1" applyBorder="1" applyAlignment="1">
      <alignment horizontal="right" vertical="center"/>
    </xf>
    <xf numFmtId="190" fontId="69" fillId="0" borderId="43" xfId="0" applyNumberFormat="1" applyFont="1" applyFill="1" applyBorder="1" applyAlignment="1" applyProtection="1">
      <alignment horizontal="right" vertical="center"/>
      <protection/>
    </xf>
    <xf numFmtId="190" fontId="69" fillId="0" borderId="41" xfId="0" applyNumberFormat="1" applyFont="1" applyFill="1" applyBorder="1" applyAlignment="1" applyProtection="1">
      <alignment horizontal="right" vertical="center"/>
      <protection/>
    </xf>
    <xf numFmtId="190" fontId="69" fillId="0" borderId="20" xfId="0" applyNumberFormat="1" applyFont="1" applyFill="1" applyBorder="1" applyAlignment="1" applyProtection="1">
      <alignment horizontal="right" vertical="center"/>
      <protection/>
    </xf>
    <xf numFmtId="190" fontId="69" fillId="0" borderId="60" xfId="0" applyNumberFormat="1" applyFont="1" applyFill="1" applyBorder="1" applyAlignment="1" applyProtection="1">
      <alignment horizontal="right" vertical="center"/>
      <protection locked="0"/>
    </xf>
    <xf numFmtId="190" fontId="69" fillId="0" borderId="89" xfId="0" applyNumberFormat="1" applyFont="1" applyFill="1" applyBorder="1" applyAlignment="1" applyProtection="1">
      <alignment horizontal="right" vertical="center"/>
      <protection locked="0"/>
    </xf>
    <xf numFmtId="190" fontId="69" fillId="0" borderId="18" xfId="0" applyNumberFormat="1" applyFont="1" applyFill="1" applyBorder="1" applyAlignment="1">
      <alignment horizontal="right" vertical="center"/>
    </xf>
    <xf numFmtId="190" fontId="69" fillId="0" borderId="83" xfId="0" applyNumberFormat="1" applyFont="1" applyFill="1" applyBorder="1" applyAlignment="1">
      <alignment horizontal="right" vertical="center"/>
    </xf>
    <xf numFmtId="190" fontId="69" fillId="0" borderId="83" xfId="0" applyNumberFormat="1" applyFont="1" applyFill="1" applyBorder="1" applyAlignment="1" applyProtection="1">
      <alignment horizontal="right" vertical="center"/>
      <protection/>
    </xf>
    <xf numFmtId="190" fontId="69" fillId="0" borderId="64" xfId="0" applyNumberFormat="1" applyFont="1" applyFill="1" applyBorder="1" applyAlignment="1">
      <alignment horizontal="right" vertical="center"/>
    </xf>
    <xf numFmtId="190" fontId="69" fillId="0" borderId="71" xfId="0" applyNumberFormat="1" applyFont="1" applyFill="1" applyBorder="1" applyAlignment="1">
      <alignment horizontal="right" vertical="center"/>
    </xf>
    <xf numFmtId="190" fontId="69" fillId="0" borderId="72" xfId="0" applyNumberFormat="1" applyFont="1" applyFill="1" applyBorder="1" applyAlignment="1">
      <alignment horizontal="right" vertical="center"/>
    </xf>
    <xf numFmtId="190" fontId="69" fillId="0" borderId="93" xfId="0" applyNumberFormat="1" applyFont="1" applyFill="1" applyBorder="1" applyAlignment="1">
      <alignment horizontal="right" vertical="center"/>
    </xf>
    <xf numFmtId="190" fontId="69" fillId="0" borderId="50" xfId="0" applyNumberFormat="1" applyFont="1" applyFill="1" applyBorder="1" applyAlignment="1">
      <alignment horizontal="right" vertical="center"/>
    </xf>
    <xf numFmtId="190" fontId="69" fillId="0" borderId="90" xfId="0" applyNumberFormat="1" applyFont="1" applyFill="1" applyBorder="1" applyAlignment="1">
      <alignment horizontal="right" vertical="center"/>
    </xf>
    <xf numFmtId="190" fontId="66" fillId="33" borderId="75" xfId="0" applyNumberFormat="1" applyFont="1" applyFill="1" applyBorder="1" applyAlignment="1">
      <alignment horizontal="right" vertical="center"/>
    </xf>
    <xf numFmtId="190" fontId="66" fillId="33" borderId="51" xfId="0" applyNumberFormat="1" applyFont="1" applyFill="1" applyBorder="1" applyAlignment="1">
      <alignment horizontal="right" vertical="center"/>
    </xf>
    <xf numFmtId="190" fontId="66" fillId="33" borderId="75" xfId="0" applyNumberFormat="1" applyFont="1" applyFill="1" applyBorder="1" applyAlignment="1" applyProtection="1">
      <alignment horizontal="right" vertical="center"/>
      <protection/>
    </xf>
    <xf numFmtId="190" fontId="66" fillId="33" borderId="51" xfId="0" applyNumberFormat="1" applyFont="1" applyFill="1" applyBorder="1" applyAlignment="1" applyProtection="1">
      <alignment horizontal="right" vertical="center"/>
      <protection/>
    </xf>
    <xf numFmtId="190" fontId="66" fillId="33" borderId="28" xfId="0" applyNumberFormat="1" applyFont="1" applyFill="1" applyBorder="1" applyAlignment="1">
      <alignment horizontal="right" vertical="center"/>
    </xf>
    <xf numFmtId="190" fontId="66" fillId="33" borderId="28" xfId="0" applyNumberFormat="1" applyFont="1" applyFill="1" applyBorder="1" applyAlignment="1" applyProtection="1">
      <alignment horizontal="right" vertical="center"/>
      <protection locked="0"/>
    </xf>
    <xf numFmtId="190" fontId="66" fillId="33" borderId="39" xfId="0" applyNumberFormat="1" applyFont="1" applyFill="1" applyBorder="1" applyAlignment="1">
      <alignment horizontal="right" vertical="center"/>
    </xf>
    <xf numFmtId="190" fontId="66" fillId="33" borderId="14" xfId="0" applyNumberFormat="1" applyFont="1" applyFill="1" applyBorder="1" applyAlignment="1">
      <alignment horizontal="right" vertical="center"/>
    </xf>
    <xf numFmtId="190" fontId="66" fillId="33" borderId="70" xfId="0" applyNumberFormat="1" applyFont="1" applyFill="1" applyBorder="1" applyAlignment="1">
      <alignment horizontal="right" vertical="center"/>
    </xf>
    <xf numFmtId="190" fontId="66" fillId="33" borderId="23" xfId="0" applyNumberFormat="1" applyFont="1" applyFill="1" applyBorder="1" applyAlignment="1">
      <alignment horizontal="right" vertical="center"/>
    </xf>
    <xf numFmtId="190" fontId="66" fillId="33" borderId="18" xfId="0" applyNumberFormat="1" applyFont="1" applyFill="1" applyBorder="1" applyAlignment="1">
      <alignment horizontal="right" vertical="center"/>
    </xf>
    <xf numFmtId="190" fontId="66" fillId="0" borderId="92" xfId="0" applyNumberFormat="1" applyFont="1" applyFill="1" applyBorder="1" applyAlignment="1" applyProtection="1">
      <alignment horizontal="right" vertical="center"/>
      <protection/>
    </xf>
    <xf numFmtId="190" fontId="66" fillId="0" borderId="94" xfId="0" applyNumberFormat="1" applyFont="1" applyFill="1" applyBorder="1" applyAlignment="1">
      <alignment horizontal="right" vertical="center"/>
    </xf>
    <xf numFmtId="190" fontId="66" fillId="0" borderId="45" xfId="0" applyNumberFormat="1" applyFont="1" applyFill="1" applyBorder="1" applyAlignment="1">
      <alignment horizontal="right" vertical="center"/>
    </xf>
    <xf numFmtId="190" fontId="66" fillId="0" borderId="24" xfId="0" applyNumberFormat="1" applyFont="1" applyFill="1" applyBorder="1" applyAlignment="1">
      <alignment horizontal="right" vertical="center"/>
    </xf>
    <xf numFmtId="190" fontId="66" fillId="0" borderId="22" xfId="0" applyNumberFormat="1" applyFont="1" applyFill="1" applyBorder="1" applyAlignment="1">
      <alignment horizontal="right" vertical="center"/>
    </xf>
    <xf numFmtId="190" fontId="66" fillId="0" borderId="16" xfId="0" applyNumberFormat="1" applyFont="1" applyFill="1" applyBorder="1" applyAlignment="1">
      <alignment horizontal="right" vertical="center"/>
    </xf>
    <xf numFmtId="190" fontId="66" fillId="0" borderId="21" xfId="0" applyNumberFormat="1" applyFont="1" applyFill="1" applyBorder="1" applyAlignment="1" applyProtection="1">
      <alignment horizontal="right" vertical="center"/>
      <protection/>
    </xf>
    <xf numFmtId="190" fontId="66" fillId="0" borderId="84" xfId="0" applyNumberFormat="1" applyFont="1" applyBorder="1" applyAlignment="1" applyProtection="1">
      <alignment horizontal="right" vertical="center"/>
      <protection/>
    </xf>
    <xf numFmtId="190" fontId="66" fillId="0" borderId="86" xfId="0" applyNumberFormat="1" applyFont="1" applyBorder="1" applyAlignment="1" applyProtection="1">
      <alignment horizontal="right" vertical="center"/>
      <protection/>
    </xf>
    <xf numFmtId="190" fontId="66" fillId="0" borderId="95" xfId="0" applyNumberFormat="1" applyFont="1" applyBorder="1" applyAlignment="1" applyProtection="1">
      <alignment horizontal="right" vertical="center"/>
      <protection/>
    </xf>
    <xf numFmtId="190" fontId="66" fillId="0" borderId="85" xfId="0" applyNumberFormat="1" applyFont="1" applyBorder="1" applyAlignment="1" applyProtection="1">
      <alignment horizontal="right" vertical="center"/>
      <protection/>
    </xf>
    <xf numFmtId="190" fontId="66" fillId="0" borderId="85" xfId="0" applyNumberFormat="1" applyFont="1" applyBorder="1" applyAlignment="1">
      <alignment horizontal="right" vertical="center"/>
    </xf>
    <xf numFmtId="190" fontId="66" fillId="0" borderId="96" xfId="0" applyNumberFormat="1" applyFont="1" applyBorder="1" applyAlignment="1">
      <alignment horizontal="right" vertical="center"/>
    </xf>
    <xf numFmtId="190" fontId="66" fillId="0" borderId="97" xfId="0" applyNumberFormat="1" applyFont="1" applyBorder="1" applyAlignment="1">
      <alignment horizontal="right" vertical="center"/>
    </xf>
    <xf numFmtId="190" fontId="66" fillId="0" borderId="97" xfId="0" applyNumberFormat="1" applyFont="1" applyBorder="1" applyAlignment="1" applyProtection="1">
      <alignment horizontal="right" vertical="center"/>
      <protection locked="0"/>
    </xf>
    <xf numFmtId="190" fontId="66" fillId="0" borderId="32" xfId="0" applyNumberFormat="1" applyFont="1" applyFill="1" applyBorder="1" applyAlignment="1">
      <alignment horizontal="right" vertical="center"/>
    </xf>
    <xf numFmtId="190" fontId="66" fillId="0" borderId="15" xfId="0" applyNumberFormat="1" applyFont="1" applyFill="1" applyBorder="1" applyAlignment="1">
      <alignment horizontal="right" vertical="center"/>
    </xf>
    <xf numFmtId="190" fontId="66" fillId="0" borderId="77" xfId="0" applyNumberFormat="1" applyFont="1" applyFill="1" applyBorder="1" applyAlignment="1">
      <alignment horizontal="right" vertical="center"/>
    </xf>
    <xf numFmtId="190" fontId="66" fillId="0" borderId="11" xfId="0" applyNumberFormat="1" applyFont="1" applyFill="1" applyBorder="1" applyAlignment="1">
      <alignment horizontal="right" vertical="center"/>
    </xf>
    <xf numFmtId="190" fontId="66" fillId="0" borderId="44" xfId="0" applyNumberFormat="1" applyFont="1" applyFill="1" applyBorder="1" applyAlignment="1">
      <alignment horizontal="right" vertical="center"/>
    </xf>
    <xf numFmtId="190" fontId="66" fillId="0" borderId="33" xfId="0" applyNumberFormat="1" applyFont="1" applyFill="1" applyBorder="1" applyAlignment="1">
      <alignment horizontal="right" vertical="center"/>
    </xf>
    <xf numFmtId="190" fontId="66" fillId="0" borderId="12" xfId="0" applyNumberFormat="1" applyFont="1" applyFill="1" applyBorder="1" applyAlignment="1" applyProtection="1">
      <alignment horizontal="right" vertical="center"/>
      <protection/>
    </xf>
    <xf numFmtId="190" fontId="66" fillId="0" borderId="64" xfId="0" applyNumberFormat="1" applyFont="1" applyBorder="1" applyAlignment="1" applyProtection="1">
      <alignment horizontal="center" vertical="center"/>
      <protection locked="0"/>
    </xf>
    <xf numFmtId="190" fontId="66" fillId="0" borderId="72" xfId="0" applyNumberFormat="1" applyFont="1" applyBorder="1" applyAlignment="1" applyProtection="1">
      <alignment horizontal="center" vertical="center"/>
      <protection locked="0"/>
    </xf>
    <xf numFmtId="190" fontId="66" fillId="0" borderId="71" xfId="0" applyNumberFormat="1" applyFont="1" applyBorder="1" applyAlignment="1" applyProtection="1">
      <alignment horizontal="center" vertical="center"/>
      <protection locked="0"/>
    </xf>
    <xf numFmtId="190" fontId="66" fillId="0" borderId="50" xfId="0" applyNumberFormat="1" applyFont="1" applyFill="1" applyBorder="1" applyAlignment="1" applyProtection="1">
      <alignment horizontal="center" vertical="center"/>
      <protection locked="0"/>
    </xf>
    <xf numFmtId="190" fontId="66" fillId="0" borderId="0" xfId="0" applyNumberFormat="1" applyFont="1" applyAlignment="1" applyProtection="1">
      <alignment horizontal="center" vertical="center"/>
      <protection locked="0"/>
    </xf>
    <xf numFmtId="190" fontId="66" fillId="0" borderId="0" xfId="0" applyNumberFormat="1" applyFont="1" applyFill="1" applyAlignment="1" applyProtection="1">
      <alignment horizontal="center" vertical="center"/>
      <protection locked="0"/>
    </xf>
    <xf numFmtId="183" fontId="66" fillId="33" borderId="62" xfId="0" applyNumberFormat="1" applyFont="1" applyFill="1" applyBorder="1" applyAlignment="1" applyProtection="1">
      <alignment horizontal="right" vertical="center"/>
      <protection locked="0"/>
    </xf>
    <xf numFmtId="183" fontId="66" fillId="33" borderId="67" xfId="0" applyNumberFormat="1" applyFont="1" applyFill="1" applyBorder="1" applyAlignment="1" applyProtection="1">
      <alignment horizontal="right" vertical="center"/>
      <protection locked="0"/>
    </xf>
    <xf numFmtId="183" fontId="66" fillId="33" borderId="65" xfId="0" applyNumberFormat="1" applyFont="1" applyFill="1" applyBorder="1" applyAlignment="1" applyProtection="1">
      <alignment horizontal="right" vertical="center"/>
      <protection locked="0"/>
    </xf>
    <xf numFmtId="183" fontId="66" fillId="33" borderId="66" xfId="0" applyNumberFormat="1" applyFont="1" applyFill="1" applyBorder="1" applyAlignment="1" applyProtection="1">
      <alignment horizontal="right" vertical="center"/>
      <protection locked="0"/>
    </xf>
    <xf numFmtId="183" fontId="66" fillId="33" borderId="62" xfId="0" applyNumberFormat="1" applyFont="1" applyFill="1" applyBorder="1" applyAlignment="1">
      <alignment horizontal="right" vertical="center"/>
    </xf>
    <xf numFmtId="183" fontId="66" fillId="33" borderId="66" xfId="0" applyNumberFormat="1" applyFont="1" applyFill="1" applyBorder="1" applyAlignment="1" applyProtection="1">
      <alignment horizontal="right" vertical="center"/>
      <protection/>
    </xf>
    <xf numFmtId="183" fontId="66" fillId="33" borderId="82" xfId="0" applyNumberFormat="1" applyFont="1" applyFill="1" applyBorder="1" applyAlignment="1" applyProtection="1">
      <alignment horizontal="right" vertical="center"/>
      <protection/>
    </xf>
    <xf numFmtId="183" fontId="66" fillId="33" borderId="45" xfId="0" applyNumberFormat="1" applyFont="1" applyFill="1" applyBorder="1" applyAlignment="1" applyProtection="1">
      <alignment horizontal="right" vertical="center"/>
      <protection locked="0"/>
    </xf>
    <xf numFmtId="183" fontId="66" fillId="33" borderId="82" xfId="0" applyNumberFormat="1" applyFont="1" applyFill="1" applyBorder="1" applyAlignment="1" applyProtection="1">
      <alignment horizontal="right" vertical="center"/>
      <protection locked="0"/>
    </xf>
    <xf numFmtId="183" fontId="66" fillId="33" borderId="58" xfId="0" applyNumberFormat="1" applyFont="1" applyFill="1" applyBorder="1" applyAlignment="1" applyProtection="1">
      <alignment horizontal="right" vertical="center"/>
      <protection locked="0"/>
    </xf>
    <xf numFmtId="183" fontId="66" fillId="33" borderId="69" xfId="0" applyNumberFormat="1" applyFont="1" applyFill="1" applyBorder="1" applyAlignment="1" applyProtection="1">
      <alignment horizontal="right" vertical="center"/>
      <protection locked="0"/>
    </xf>
    <xf numFmtId="183" fontId="66" fillId="33" borderId="47" xfId="0" applyNumberFormat="1" applyFont="1" applyFill="1" applyBorder="1" applyAlignment="1" applyProtection="1">
      <alignment horizontal="right" vertical="center"/>
      <protection locked="0"/>
    </xf>
    <xf numFmtId="183" fontId="66" fillId="33" borderId="68" xfId="0" applyNumberFormat="1" applyFont="1" applyFill="1" applyBorder="1" applyAlignment="1" applyProtection="1">
      <alignment horizontal="right" vertical="center"/>
      <protection locked="0"/>
    </xf>
    <xf numFmtId="183" fontId="66" fillId="33" borderId="58" xfId="0" applyNumberFormat="1" applyFont="1" applyFill="1" applyBorder="1" applyAlignment="1">
      <alignment horizontal="right" vertical="center"/>
    </xf>
    <xf numFmtId="183" fontId="66" fillId="33" borderId="68" xfId="0" applyNumberFormat="1" applyFont="1" applyFill="1" applyBorder="1" applyAlignment="1" applyProtection="1">
      <alignment horizontal="right" vertical="center"/>
      <protection/>
    </xf>
    <xf numFmtId="183" fontId="66" fillId="33" borderId="80" xfId="0" applyNumberFormat="1" applyFont="1" applyFill="1" applyBorder="1" applyAlignment="1" applyProtection="1">
      <alignment horizontal="right" vertical="center"/>
      <protection/>
    </xf>
    <xf numFmtId="183" fontId="66" fillId="33" borderId="28" xfId="0" applyNumberFormat="1" applyFont="1" applyFill="1" applyBorder="1" applyAlignment="1" applyProtection="1">
      <alignment horizontal="right" vertical="center"/>
      <protection locked="0"/>
    </xf>
    <xf numFmtId="183" fontId="66" fillId="33" borderId="80" xfId="0" applyNumberFormat="1" applyFont="1" applyFill="1" applyBorder="1" applyAlignment="1" applyProtection="1">
      <alignment horizontal="right" vertical="center"/>
      <protection locked="0"/>
    </xf>
    <xf numFmtId="183" fontId="66" fillId="33" borderId="81" xfId="0" applyNumberFormat="1" applyFont="1" applyFill="1" applyBorder="1" applyAlignment="1" applyProtection="1">
      <alignment horizontal="right" vertical="center"/>
      <protection/>
    </xf>
    <xf numFmtId="183" fontId="66" fillId="33" borderId="27" xfId="0" applyNumberFormat="1" applyFont="1" applyFill="1" applyBorder="1" applyAlignment="1" applyProtection="1">
      <alignment horizontal="right" vertical="center"/>
      <protection locked="0"/>
    </xf>
    <xf numFmtId="183" fontId="66" fillId="33" borderId="81" xfId="0" applyNumberFormat="1" applyFont="1" applyFill="1" applyBorder="1" applyAlignment="1" applyProtection="1">
      <alignment horizontal="right" vertical="center"/>
      <protection locked="0"/>
    </xf>
    <xf numFmtId="183" fontId="66" fillId="33" borderId="39" xfId="0" applyNumberFormat="1" applyFont="1" applyFill="1" applyBorder="1" applyAlignment="1">
      <alignment horizontal="right" vertical="center"/>
    </xf>
    <xf numFmtId="183" fontId="66" fillId="33" borderId="23" xfId="0" applyNumberFormat="1" applyFont="1" applyFill="1" applyBorder="1" applyAlignment="1">
      <alignment horizontal="right" vertical="center"/>
    </xf>
    <xf numFmtId="183" fontId="66" fillId="33" borderId="14" xfId="0" applyNumberFormat="1" applyFont="1" applyFill="1" applyBorder="1" applyAlignment="1">
      <alignment horizontal="right" vertical="center"/>
    </xf>
    <xf numFmtId="183" fontId="66" fillId="33" borderId="70" xfId="0" applyNumberFormat="1" applyFont="1" applyFill="1" applyBorder="1" applyAlignment="1">
      <alignment horizontal="right" vertical="center"/>
    </xf>
    <xf numFmtId="183" fontId="66" fillId="33" borderId="83" xfId="0" applyNumberFormat="1" applyFont="1" applyFill="1" applyBorder="1" applyAlignment="1">
      <alignment horizontal="right" vertical="center"/>
    </xf>
    <xf numFmtId="183" fontId="66" fillId="33" borderId="18" xfId="0" applyNumberFormat="1" applyFont="1" applyFill="1" applyBorder="1" applyAlignment="1">
      <alignment horizontal="right" vertical="center"/>
    </xf>
    <xf numFmtId="183" fontId="66" fillId="0" borderId="62" xfId="0" applyNumberFormat="1" applyFont="1" applyFill="1" applyBorder="1" applyAlignment="1" applyProtection="1">
      <alignment horizontal="right" vertical="center"/>
      <protection locked="0"/>
    </xf>
    <xf numFmtId="183" fontId="66" fillId="0" borderId="67" xfId="0" applyNumberFormat="1" applyFont="1" applyFill="1" applyBorder="1" applyAlignment="1" applyProtection="1">
      <alignment horizontal="right" vertical="center"/>
      <protection locked="0"/>
    </xf>
    <xf numFmtId="183" fontId="66" fillId="35" borderId="67" xfId="0" applyNumberFormat="1" applyFont="1" applyFill="1" applyBorder="1" applyAlignment="1" applyProtection="1">
      <alignment horizontal="right" vertical="center"/>
      <protection locked="0"/>
    </xf>
    <xf numFmtId="183" fontId="66" fillId="33" borderId="67" xfId="0" applyNumberFormat="1" applyFont="1" applyFill="1" applyBorder="1" applyAlignment="1">
      <alignment horizontal="right" vertical="center"/>
    </xf>
    <xf numFmtId="183" fontId="66" fillId="35" borderId="65" xfId="0" applyNumberFormat="1" applyFont="1" applyFill="1" applyBorder="1" applyAlignment="1" applyProtection="1">
      <alignment horizontal="right" vertical="center"/>
      <protection locked="0"/>
    </xf>
    <xf numFmtId="183" fontId="66" fillId="33" borderId="61" xfId="0" applyNumberFormat="1" applyFont="1" applyFill="1" applyBorder="1" applyAlignment="1" applyProtection="1">
      <alignment horizontal="right" vertical="center"/>
      <protection/>
    </xf>
    <xf numFmtId="183" fontId="66" fillId="33" borderId="37" xfId="0" applyNumberFormat="1" applyFont="1" applyFill="1" applyBorder="1" applyAlignment="1">
      <alignment horizontal="right" vertical="center"/>
    </xf>
    <xf numFmtId="183" fontId="66" fillId="33" borderId="70" xfId="0" applyNumberFormat="1" applyFont="1" applyFill="1" applyBorder="1" applyAlignment="1" applyProtection="1">
      <alignment horizontal="right" vertical="center"/>
      <protection locked="0"/>
    </xf>
    <xf numFmtId="183" fontId="66" fillId="33" borderId="17" xfId="0" applyNumberFormat="1" applyFont="1" applyFill="1" applyBorder="1" applyAlignment="1" applyProtection="1">
      <alignment horizontal="right" vertical="center"/>
      <protection/>
    </xf>
    <xf numFmtId="183" fontId="66" fillId="33" borderId="37" xfId="0" applyNumberFormat="1" applyFont="1" applyFill="1" applyBorder="1" applyAlignment="1" applyProtection="1">
      <alignment horizontal="right" vertical="center"/>
      <protection/>
    </xf>
    <xf numFmtId="183" fontId="66" fillId="33" borderId="18" xfId="0" applyNumberFormat="1" applyFont="1" applyFill="1" applyBorder="1" applyAlignment="1" applyProtection="1">
      <alignment horizontal="right" vertical="center"/>
      <protection/>
    </xf>
    <xf numFmtId="183" fontId="66" fillId="33" borderId="83" xfId="0" applyNumberFormat="1" applyFont="1" applyFill="1" applyBorder="1" applyAlignment="1" applyProtection="1">
      <alignment horizontal="right" vertical="center"/>
      <protection/>
    </xf>
    <xf numFmtId="183" fontId="66" fillId="33" borderId="70" xfId="0" applyNumberFormat="1" applyFont="1" applyFill="1" applyBorder="1" applyAlignment="1" applyProtection="1">
      <alignment horizontal="right" vertical="center"/>
      <protection/>
    </xf>
    <xf numFmtId="183" fontId="66" fillId="0" borderId="64" xfId="0" applyNumberFormat="1" applyFont="1" applyFill="1" applyBorder="1" applyAlignment="1" applyProtection="1">
      <alignment horizontal="right" vertical="center"/>
      <protection locked="0"/>
    </xf>
    <xf numFmtId="183" fontId="66" fillId="0" borderId="73" xfId="0" applyNumberFormat="1" applyFont="1" applyFill="1" applyBorder="1" applyAlignment="1" applyProtection="1">
      <alignment horizontal="right" vertical="center"/>
      <protection locked="0"/>
    </xf>
    <xf numFmtId="183" fontId="66" fillId="0" borderId="71" xfId="0" applyNumberFormat="1" applyFont="1" applyFill="1" applyBorder="1" applyAlignment="1" applyProtection="1">
      <alignment horizontal="right" vertical="center"/>
      <protection locked="0"/>
    </xf>
    <xf numFmtId="183" fontId="66" fillId="0" borderId="72" xfId="0" applyNumberFormat="1" applyFont="1" applyFill="1" applyBorder="1" applyAlignment="1" applyProtection="1">
      <alignment horizontal="right" vertical="center"/>
      <protection locked="0"/>
    </xf>
    <xf numFmtId="183" fontId="66" fillId="0" borderId="90" xfId="0" applyNumberFormat="1" applyFont="1" applyFill="1" applyBorder="1" applyAlignment="1" applyProtection="1">
      <alignment horizontal="right" vertical="center"/>
      <protection locked="0"/>
    </xf>
    <xf numFmtId="183" fontId="66" fillId="0" borderId="50" xfId="0" applyNumberFormat="1" applyFont="1" applyFill="1" applyBorder="1" applyAlignment="1" applyProtection="1">
      <alignment horizontal="right" vertical="center"/>
      <protection locked="0"/>
    </xf>
    <xf numFmtId="190" fontId="6" fillId="0" borderId="51" xfId="0" applyNumberFormat="1" applyFont="1" applyFill="1" applyBorder="1" applyAlignment="1">
      <alignment horizontal="right" vertical="center"/>
    </xf>
    <xf numFmtId="190" fontId="6" fillId="0" borderId="75" xfId="0" applyNumberFormat="1" applyFont="1" applyFill="1" applyBorder="1" applyAlignment="1" applyProtection="1">
      <alignment horizontal="right" vertical="center"/>
      <protection locked="0"/>
    </xf>
    <xf numFmtId="190" fontId="6" fillId="33" borderId="75" xfId="0" applyNumberFormat="1" applyFont="1" applyFill="1" applyBorder="1" applyAlignment="1">
      <alignment horizontal="right" vertical="center"/>
    </xf>
    <xf numFmtId="190" fontId="6" fillId="0" borderId="28" xfId="0" applyNumberFormat="1" applyFont="1" applyFill="1" applyBorder="1" applyAlignment="1" applyProtection="1">
      <alignment horizontal="right" vertical="center"/>
      <protection/>
    </xf>
    <xf numFmtId="190" fontId="6" fillId="0" borderId="24" xfId="0" applyNumberFormat="1" applyFont="1" applyFill="1" applyBorder="1" applyAlignment="1">
      <alignment horizontal="right" vertical="center"/>
    </xf>
    <xf numFmtId="190" fontId="6" fillId="0" borderId="22" xfId="0" applyNumberFormat="1" applyFont="1" applyFill="1" applyBorder="1" applyAlignment="1">
      <alignment horizontal="right" vertical="center"/>
    </xf>
    <xf numFmtId="190" fontId="6" fillId="0" borderId="21" xfId="0" applyNumberFormat="1" applyFont="1" applyFill="1" applyBorder="1" applyAlignment="1">
      <alignment horizontal="right" vertical="center"/>
    </xf>
    <xf numFmtId="190" fontId="6" fillId="33" borderId="47" xfId="0" applyNumberFormat="1" applyFont="1" applyFill="1" applyBorder="1" applyAlignment="1">
      <alignment horizontal="right" vertical="center"/>
    </xf>
    <xf numFmtId="190" fontId="6" fillId="0" borderId="17" xfId="0" applyNumberFormat="1" applyFont="1" applyFill="1" applyBorder="1" applyAlignment="1">
      <alignment horizontal="right" vertical="center"/>
    </xf>
    <xf numFmtId="190" fontId="6" fillId="0" borderId="16" xfId="0" applyNumberFormat="1" applyFont="1" applyFill="1" applyBorder="1" applyAlignment="1">
      <alignment horizontal="right" vertical="center"/>
    </xf>
    <xf numFmtId="190" fontId="6" fillId="33" borderId="26" xfId="0" applyNumberFormat="1" applyFont="1" applyFill="1" applyBorder="1" applyAlignment="1">
      <alignment horizontal="right" vertical="center"/>
    </xf>
    <xf numFmtId="190" fontId="6" fillId="0" borderId="17" xfId="0" applyNumberFormat="1" applyFont="1" applyFill="1" applyBorder="1" applyAlignment="1" applyProtection="1">
      <alignment horizontal="right" vertical="center"/>
      <protection/>
    </xf>
    <xf numFmtId="190" fontId="6" fillId="0" borderId="21" xfId="0" applyNumberFormat="1" applyFont="1" applyFill="1" applyBorder="1" applyAlignment="1" applyProtection="1">
      <alignment horizontal="right" vertical="center"/>
      <protection/>
    </xf>
    <xf numFmtId="190" fontId="6" fillId="0" borderId="15" xfId="0" applyNumberFormat="1" applyFont="1" applyFill="1" applyBorder="1" applyAlignment="1" applyProtection="1">
      <alignment horizontal="right" vertical="center"/>
      <protection locked="0"/>
    </xf>
    <xf numFmtId="190" fontId="6" fillId="0" borderId="21" xfId="0" applyNumberFormat="1" applyFont="1" applyFill="1" applyBorder="1" applyAlignment="1" applyProtection="1">
      <alignment horizontal="right" vertical="center"/>
      <protection locked="0"/>
    </xf>
    <xf numFmtId="190" fontId="6" fillId="33" borderId="37" xfId="0" applyNumberFormat="1" applyFont="1" applyFill="1" applyBorder="1" applyAlignment="1">
      <alignment horizontal="right" vertical="center"/>
    </xf>
    <xf numFmtId="190" fontId="6" fillId="0" borderId="66" xfId="0" applyNumberFormat="1" applyFont="1" applyFill="1" applyBorder="1" applyAlignment="1">
      <alignment horizontal="right" vertical="center"/>
    </xf>
    <xf numFmtId="190" fontId="6" fillId="0" borderId="65" xfId="0" applyNumberFormat="1" applyFont="1" applyFill="1" applyBorder="1" applyAlignment="1" applyProtection="1">
      <alignment horizontal="right" vertical="center"/>
      <protection locked="0"/>
    </xf>
    <xf numFmtId="190" fontId="6" fillId="0" borderId="45" xfId="0" applyNumberFormat="1" applyFont="1" applyFill="1" applyBorder="1" applyAlignment="1" applyProtection="1">
      <alignment horizontal="right" vertical="center"/>
      <protection/>
    </xf>
    <xf numFmtId="190" fontId="6" fillId="33" borderId="14" xfId="0" applyNumberFormat="1" applyFont="1" applyFill="1" applyBorder="1" applyAlignment="1">
      <alignment horizontal="right" vertical="center"/>
    </xf>
    <xf numFmtId="190" fontId="6" fillId="0" borderId="74" xfId="0" applyNumberFormat="1" applyFont="1" applyFill="1" applyBorder="1" applyAlignment="1" applyProtection="1">
      <alignment horizontal="center" vertical="center" shrinkToFit="1"/>
      <protection/>
    </xf>
    <xf numFmtId="190" fontId="6" fillId="0" borderId="75" xfId="0" applyNumberFormat="1" applyFont="1" applyFill="1" applyBorder="1" applyAlignment="1" applyProtection="1">
      <alignment horizontal="center" vertical="center" shrinkToFit="1"/>
      <protection/>
    </xf>
    <xf numFmtId="190" fontId="67" fillId="0" borderId="75" xfId="0" applyNumberFormat="1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 horizontal="right" vertical="center"/>
    </xf>
    <xf numFmtId="190" fontId="6" fillId="0" borderId="20" xfId="0" applyNumberFormat="1" applyFont="1" applyFill="1" applyBorder="1" applyAlignment="1">
      <alignment horizontal="right" vertical="center"/>
    </xf>
    <xf numFmtId="190" fontId="6" fillId="0" borderId="76" xfId="0" applyNumberFormat="1" applyFont="1" applyFill="1" applyBorder="1" applyAlignment="1">
      <alignment horizontal="right" vertical="center"/>
    </xf>
    <xf numFmtId="190" fontId="6" fillId="0" borderId="60" xfId="0" applyNumberFormat="1" applyFont="1" applyFill="1" applyBorder="1" applyAlignment="1">
      <alignment horizontal="right" vertical="center"/>
    </xf>
    <xf numFmtId="190" fontId="6" fillId="0" borderId="98" xfId="0" applyNumberFormat="1" applyFont="1" applyFill="1" applyBorder="1" applyAlignment="1">
      <alignment horizontal="right" vertical="center"/>
    </xf>
    <xf numFmtId="190" fontId="6" fillId="0" borderId="50" xfId="0" applyNumberFormat="1" applyFont="1" applyFill="1" applyBorder="1" applyAlignment="1">
      <alignment horizontal="right" vertical="center"/>
    </xf>
    <xf numFmtId="190" fontId="6" fillId="0" borderId="93" xfId="0" applyNumberFormat="1" applyFont="1" applyFill="1" applyBorder="1" applyAlignment="1">
      <alignment horizontal="right" vertical="center"/>
    </xf>
    <xf numFmtId="4" fontId="66" fillId="0" borderId="45" xfId="0" applyNumberFormat="1" applyFont="1" applyFill="1" applyBorder="1" applyAlignment="1">
      <alignment horizontal="right" vertical="center"/>
    </xf>
    <xf numFmtId="4" fontId="66" fillId="0" borderId="62" xfId="0" applyNumberFormat="1" applyFont="1" applyFill="1" applyBorder="1" applyAlignment="1">
      <alignment horizontal="right" vertical="center"/>
    </xf>
    <xf numFmtId="4" fontId="66" fillId="0" borderId="67" xfId="0" applyNumberFormat="1" applyFont="1" applyFill="1" applyBorder="1" applyAlignment="1">
      <alignment horizontal="right" vertical="center"/>
    </xf>
    <xf numFmtId="4" fontId="66" fillId="0" borderId="65" xfId="0" applyNumberFormat="1" applyFont="1" applyFill="1" applyBorder="1" applyAlignment="1">
      <alignment horizontal="right" vertical="center"/>
    </xf>
    <xf numFmtId="4" fontId="66" fillId="0" borderId="66" xfId="0" applyNumberFormat="1" applyFont="1" applyFill="1" applyBorder="1" applyAlignment="1">
      <alignment horizontal="right" vertical="center"/>
    </xf>
    <xf numFmtId="4" fontId="66" fillId="0" borderId="19" xfId="0" applyNumberFormat="1" applyFont="1" applyFill="1" applyBorder="1" applyAlignment="1">
      <alignment horizontal="right" vertical="center"/>
    </xf>
    <xf numFmtId="4" fontId="66" fillId="0" borderId="45" xfId="0" applyNumberFormat="1" applyFont="1" applyFill="1" applyBorder="1" applyAlignment="1" applyProtection="1">
      <alignment horizontal="right" vertical="center"/>
      <protection/>
    </xf>
    <xf numFmtId="4" fontId="66" fillId="0" borderId="45" xfId="0" applyNumberFormat="1" applyFont="1" applyFill="1" applyBorder="1" applyAlignment="1" applyProtection="1">
      <alignment horizontal="right" vertical="center"/>
      <protection locked="0"/>
    </xf>
    <xf numFmtId="4" fontId="66" fillId="0" borderId="60" xfId="0" applyNumberFormat="1" applyFont="1" applyFill="1" applyBorder="1" applyAlignment="1">
      <alignment horizontal="right" vertical="center"/>
    </xf>
    <xf numFmtId="4" fontId="66" fillId="0" borderId="41" xfId="0" applyNumberFormat="1" applyFont="1" applyFill="1" applyBorder="1" applyAlignment="1">
      <alignment horizontal="right" vertical="center"/>
    </xf>
    <xf numFmtId="4" fontId="66" fillId="0" borderId="43" xfId="0" applyNumberFormat="1" applyFont="1" applyFill="1" applyBorder="1" applyAlignment="1">
      <alignment horizontal="right" vertical="center"/>
    </xf>
    <xf numFmtId="4" fontId="66" fillId="0" borderId="20" xfId="0" applyNumberFormat="1" applyFont="1" applyFill="1" applyBorder="1" applyAlignment="1" applyProtection="1">
      <alignment horizontal="right" vertical="center"/>
      <protection/>
    </xf>
    <xf numFmtId="4" fontId="66" fillId="0" borderId="43" xfId="0" applyNumberFormat="1" applyFont="1" applyFill="1" applyBorder="1" applyAlignment="1" applyProtection="1">
      <alignment horizontal="right" vertical="center"/>
      <protection/>
    </xf>
    <xf numFmtId="4" fontId="66" fillId="0" borderId="98" xfId="0" applyNumberFormat="1" applyFont="1" applyFill="1" applyBorder="1" applyAlignment="1" applyProtection="1">
      <alignment horizontal="right" vertical="center"/>
      <protection/>
    </xf>
    <xf numFmtId="4" fontId="66" fillId="0" borderId="89" xfId="0" applyNumberFormat="1" applyFont="1" applyFill="1" applyBorder="1" applyAlignment="1" applyProtection="1">
      <alignment horizontal="right" vertical="center"/>
      <protection/>
    </xf>
    <xf numFmtId="4" fontId="66" fillId="0" borderId="60" xfId="0" applyNumberFormat="1" applyFont="1" applyFill="1" applyBorder="1" applyAlignment="1" applyProtection="1">
      <alignment horizontal="right" vertical="center"/>
      <protection locked="0"/>
    </xf>
    <xf numFmtId="4" fontId="66" fillId="0" borderId="27" xfId="0" applyNumberFormat="1" applyFont="1" applyFill="1" applyBorder="1" applyAlignment="1">
      <alignment horizontal="right" vertical="center"/>
    </xf>
    <xf numFmtId="4" fontId="66" fillId="0" borderId="58" xfId="0" applyNumberFormat="1" applyFont="1" applyFill="1" applyBorder="1" applyAlignment="1">
      <alignment horizontal="right" vertical="center"/>
    </xf>
    <xf numFmtId="4" fontId="66" fillId="0" borderId="69" xfId="0" applyNumberFormat="1" applyFont="1" applyFill="1" applyBorder="1" applyAlignment="1">
      <alignment horizontal="right" vertical="center"/>
    </xf>
    <xf numFmtId="4" fontId="66" fillId="0" borderId="47" xfId="0" applyNumberFormat="1" applyFont="1" applyFill="1" applyBorder="1" applyAlignment="1">
      <alignment horizontal="right" vertical="center"/>
    </xf>
    <xf numFmtId="4" fontId="66" fillId="0" borderId="68" xfId="0" applyNumberFormat="1" applyFont="1" applyFill="1" applyBorder="1" applyAlignment="1">
      <alignment horizontal="right" vertical="center"/>
    </xf>
    <xf numFmtId="4" fontId="66" fillId="0" borderId="27" xfId="0" applyNumberFormat="1" applyFont="1" applyFill="1" applyBorder="1" applyAlignment="1" applyProtection="1">
      <alignment horizontal="right" vertical="center"/>
      <protection/>
    </xf>
    <xf numFmtId="4" fontId="66" fillId="0" borderId="27" xfId="0" applyNumberFormat="1" applyFont="1" applyFill="1" applyBorder="1" applyAlignment="1" applyProtection="1">
      <alignment horizontal="right" vertical="center"/>
      <protection locked="0"/>
    </xf>
    <xf numFmtId="4" fontId="66" fillId="0" borderId="28" xfId="0" applyNumberFormat="1" applyFont="1" applyFill="1" applyBorder="1" applyAlignment="1">
      <alignment horizontal="right" vertical="center"/>
    </xf>
    <xf numFmtId="4" fontId="66" fillId="0" borderId="18" xfId="0" applyNumberFormat="1" applyFont="1" applyFill="1" applyBorder="1" applyAlignment="1">
      <alignment horizontal="right" vertical="center"/>
    </xf>
    <xf numFmtId="4" fontId="66" fillId="0" borderId="40" xfId="0" applyNumberFormat="1" applyFont="1" applyFill="1" applyBorder="1" applyAlignment="1">
      <alignment horizontal="right" vertical="center"/>
    </xf>
    <xf numFmtId="4" fontId="66" fillId="0" borderId="14" xfId="0" applyNumberFormat="1" applyFont="1" applyFill="1" applyBorder="1" applyAlignment="1">
      <alignment horizontal="right" vertical="center"/>
    </xf>
    <xf numFmtId="4" fontId="66" fillId="0" borderId="83" xfId="0" applyNumberFormat="1" applyFont="1" applyFill="1" applyBorder="1" applyAlignment="1">
      <alignment horizontal="right" vertical="center"/>
    </xf>
    <xf numFmtId="4" fontId="66" fillId="0" borderId="39" xfId="0" applyNumberFormat="1" applyFont="1" applyFill="1" applyBorder="1" applyAlignment="1">
      <alignment horizontal="right" vertical="center"/>
    </xf>
    <xf numFmtId="4" fontId="66" fillId="0" borderId="70" xfId="0" applyNumberFormat="1" applyFont="1" applyFill="1" applyBorder="1" applyAlignment="1">
      <alignment horizontal="right" vertical="center"/>
    </xf>
    <xf numFmtId="4" fontId="66" fillId="0" borderId="21" xfId="0" applyNumberFormat="1" applyFont="1" applyFill="1" applyBorder="1" applyAlignment="1">
      <alignment horizontal="right" vertical="center"/>
    </xf>
    <xf numFmtId="4" fontId="66" fillId="0" borderId="18" xfId="0" applyNumberFormat="1" applyFont="1" applyFill="1" applyBorder="1" applyAlignment="1" applyProtection="1">
      <alignment horizontal="right" vertical="center"/>
      <protection locked="0"/>
    </xf>
    <xf numFmtId="4" fontId="66" fillId="0" borderId="74" xfId="0" applyNumberFormat="1" applyFont="1" applyFill="1" applyBorder="1" applyAlignment="1">
      <alignment horizontal="right" vertical="center"/>
    </xf>
    <xf numFmtId="4" fontId="66" fillId="0" borderId="92" xfId="0" applyNumberFormat="1" applyFont="1" applyFill="1" applyBorder="1" applyAlignment="1">
      <alignment horizontal="right" vertical="center"/>
    </xf>
    <xf numFmtId="4" fontId="66" fillId="0" borderId="75" xfId="0" applyNumberFormat="1" applyFont="1" applyFill="1" applyBorder="1" applyAlignment="1">
      <alignment horizontal="right" vertical="center"/>
    </xf>
    <xf numFmtId="4" fontId="66" fillId="0" borderId="51" xfId="0" applyNumberFormat="1" applyFont="1" applyFill="1" applyBorder="1" applyAlignment="1">
      <alignment horizontal="right" vertical="center"/>
    </xf>
    <xf numFmtId="4" fontId="66" fillId="0" borderId="28" xfId="0" applyNumberFormat="1" applyFont="1" applyFill="1" applyBorder="1" applyAlignment="1" applyProtection="1">
      <alignment horizontal="right" vertical="center"/>
      <protection/>
    </xf>
    <xf numFmtId="4" fontId="66" fillId="0" borderId="28" xfId="0" applyNumberFormat="1" applyFont="1" applyFill="1" applyBorder="1" applyAlignment="1" applyProtection="1">
      <alignment horizontal="right" vertical="center"/>
      <protection locked="0"/>
    </xf>
    <xf numFmtId="4" fontId="66" fillId="0" borderId="20" xfId="0" applyNumberFormat="1" applyFont="1" applyFill="1" applyBorder="1" applyAlignment="1">
      <alignment horizontal="right" vertical="center"/>
    </xf>
    <xf numFmtId="4" fontId="66" fillId="0" borderId="76" xfId="0" applyNumberFormat="1" applyFont="1" applyFill="1" applyBorder="1" applyAlignment="1">
      <alignment horizontal="right" vertical="center"/>
    </xf>
    <xf numFmtId="4" fontId="66" fillId="0" borderId="60" xfId="0" applyNumberFormat="1" applyFont="1" applyFill="1" applyBorder="1" applyAlignment="1" applyProtection="1">
      <alignment horizontal="right" vertical="center"/>
      <protection/>
    </xf>
    <xf numFmtId="4" fontId="66" fillId="0" borderId="23" xfId="0" applyNumberFormat="1" applyFont="1" applyFill="1" applyBorder="1" applyAlignment="1">
      <alignment horizontal="right" vertical="center"/>
    </xf>
    <xf numFmtId="181" fontId="6" fillId="33" borderId="47" xfId="0" applyNumberFormat="1" applyFont="1" applyFill="1" applyBorder="1" applyAlignment="1">
      <alignment horizontal="right" vertical="center"/>
    </xf>
    <xf numFmtId="187" fontId="6" fillId="0" borderId="75" xfId="0" applyNumberFormat="1" applyFont="1" applyFill="1" applyBorder="1" applyAlignment="1" applyProtection="1">
      <alignment horizontal="right" vertical="center"/>
      <protection/>
    </xf>
    <xf numFmtId="187" fontId="6" fillId="0" borderId="94" xfId="0" applyNumberFormat="1" applyFont="1" applyFill="1" applyBorder="1" applyAlignment="1" applyProtection="1">
      <alignment horizontal="right" vertical="center"/>
      <protection/>
    </xf>
    <xf numFmtId="187" fontId="6" fillId="0" borderId="79" xfId="0" applyNumberFormat="1" applyFont="1" applyFill="1" applyBorder="1" applyAlignment="1" applyProtection="1">
      <alignment horizontal="right" vertical="center"/>
      <protection locked="0"/>
    </xf>
    <xf numFmtId="195" fontId="66" fillId="0" borderId="40" xfId="0" applyNumberFormat="1" applyFont="1" applyFill="1" applyBorder="1" applyAlignment="1">
      <alignment horizontal="right" vertical="center"/>
    </xf>
    <xf numFmtId="195" fontId="66" fillId="0" borderId="23" xfId="0" applyNumberFormat="1" applyFont="1" applyFill="1" applyBorder="1" applyAlignment="1">
      <alignment horizontal="right" vertical="center"/>
    </xf>
    <xf numFmtId="195" fontId="66" fillId="0" borderId="83" xfId="0" applyNumberFormat="1" applyFont="1" applyFill="1" applyBorder="1" applyAlignment="1" applyProtection="1">
      <alignment horizontal="right" vertical="center"/>
      <protection/>
    </xf>
    <xf numFmtId="181" fontId="6" fillId="33" borderId="58" xfId="0" applyNumberFormat="1" applyFont="1" applyFill="1" applyBorder="1" applyAlignment="1" applyProtection="1">
      <alignment horizontal="right" vertical="center"/>
      <protection/>
    </xf>
    <xf numFmtId="181" fontId="6" fillId="33" borderId="47" xfId="0" applyNumberFormat="1" applyFont="1" applyFill="1" applyBorder="1" applyAlignment="1" applyProtection="1">
      <alignment horizontal="right" vertical="center"/>
      <protection/>
    </xf>
    <xf numFmtId="181" fontId="6" fillId="33" borderId="51" xfId="0" applyNumberFormat="1" applyFont="1" applyFill="1" applyBorder="1" applyAlignment="1" applyProtection="1">
      <alignment horizontal="right" vertical="center"/>
      <protection/>
    </xf>
    <xf numFmtId="181" fontId="6" fillId="33" borderId="28" xfId="0" applyNumberFormat="1" applyFont="1" applyFill="1" applyBorder="1" applyAlignment="1">
      <alignment horizontal="right" vertical="center"/>
    </xf>
    <xf numFmtId="181" fontId="6" fillId="33" borderId="27" xfId="0" applyNumberFormat="1" applyFont="1" applyFill="1" applyBorder="1" applyAlignment="1" applyProtection="1">
      <alignment horizontal="right" vertical="center"/>
      <protection locked="0"/>
    </xf>
    <xf numFmtId="187" fontId="6" fillId="0" borderId="74" xfId="0" applyNumberFormat="1" applyFont="1" applyFill="1" applyBorder="1" applyAlignment="1" applyProtection="1">
      <alignment horizontal="right" vertical="center"/>
      <protection/>
    </xf>
    <xf numFmtId="187" fontId="6" fillId="0" borderId="75" xfId="0" applyNumberFormat="1" applyFont="1" applyFill="1" applyBorder="1" applyAlignment="1">
      <alignment horizontal="right" vertical="center"/>
    </xf>
    <xf numFmtId="187" fontId="6" fillId="0" borderId="51" xfId="0" applyNumberFormat="1" applyFont="1" applyFill="1" applyBorder="1" applyAlignment="1" applyProtection="1">
      <alignment horizontal="right" vertical="center"/>
      <protection/>
    </xf>
    <xf numFmtId="187" fontId="6" fillId="0" borderId="28" xfId="0" applyNumberFormat="1" applyFont="1" applyFill="1" applyBorder="1" applyAlignment="1">
      <alignment horizontal="right" vertical="center"/>
    </xf>
    <xf numFmtId="187" fontId="6" fillId="0" borderId="28" xfId="0" applyNumberFormat="1" applyFont="1" applyFill="1" applyBorder="1" applyAlignment="1" applyProtection="1">
      <alignment horizontal="right" vertical="center"/>
      <protection locked="0"/>
    </xf>
    <xf numFmtId="187" fontId="66" fillId="0" borderId="39" xfId="0" applyNumberFormat="1" applyFont="1" applyFill="1" applyBorder="1" applyAlignment="1">
      <alignment horizontal="right" vertical="center"/>
    </xf>
    <xf numFmtId="187" fontId="66" fillId="0" borderId="13" xfId="0" applyNumberFormat="1" applyFont="1" applyFill="1" applyBorder="1" applyAlignment="1">
      <alignment horizontal="right" vertical="center"/>
    </xf>
    <xf numFmtId="187" fontId="66" fillId="0" borderId="14" xfId="0" applyNumberFormat="1" applyFont="1" applyFill="1" applyBorder="1" applyAlignment="1">
      <alignment horizontal="right" vertical="center"/>
    </xf>
    <xf numFmtId="187" fontId="66" fillId="0" borderId="17" xfId="0" applyNumberFormat="1" applyFont="1" applyFill="1" applyBorder="1" applyAlignment="1">
      <alignment horizontal="right" vertical="center"/>
    </xf>
    <xf numFmtId="187" fontId="66" fillId="0" borderId="35" xfId="0" applyNumberFormat="1" applyFont="1" applyFill="1" applyBorder="1" applyAlignment="1">
      <alignment horizontal="right" vertical="center"/>
    </xf>
    <xf numFmtId="187" fontId="66" fillId="0" borderId="70" xfId="0" applyNumberFormat="1" applyFont="1" applyFill="1" applyBorder="1" applyAlignment="1" applyProtection="1">
      <alignment horizontal="right" vertical="center"/>
      <protection/>
    </xf>
    <xf numFmtId="187" fontId="66" fillId="0" borderId="21" xfId="0" applyNumberFormat="1" applyFont="1" applyFill="1" applyBorder="1" applyAlignment="1">
      <alignment horizontal="right" vertical="center"/>
    </xf>
    <xf numFmtId="187" fontId="66" fillId="0" borderId="74" xfId="0" applyNumberFormat="1" applyFont="1" applyFill="1" applyBorder="1" applyAlignment="1" applyProtection="1">
      <alignment horizontal="right" vertical="center"/>
      <protection/>
    </xf>
    <xf numFmtId="187" fontId="66" fillId="0" borderId="75" xfId="0" applyNumberFormat="1" applyFont="1" applyFill="1" applyBorder="1" applyAlignment="1" applyProtection="1">
      <alignment horizontal="right" vertical="center"/>
      <protection/>
    </xf>
    <xf numFmtId="187" fontId="66" fillId="0" borderId="75" xfId="0" applyNumberFormat="1" applyFont="1" applyFill="1" applyBorder="1" applyAlignment="1">
      <alignment horizontal="right" vertical="center"/>
    </xf>
    <xf numFmtId="187" fontId="66" fillId="0" borderId="94" xfId="0" applyNumberFormat="1" applyFont="1" applyFill="1" applyBorder="1" applyAlignment="1" applyProtection="1">
      <alignment horizontal="right" vertical="center"/>
      <protection/>
    </xf>
    <xf numFmtId="187" fontId="66" fillId="0" borderId="51" xfId="0" applyNumberFormat="1" applyFont="1" applyFill="1" applyBorder="1" applyAlignment="1" applyProtection="1">
      <alignment horizontal="right" vertical="center"/>
      <protection/>
    </xf>
    <xf numFmtId="187" fontId="66" fillId="0" borderId="28" xfId="0" applyNumberFormat="1" applyFont="1" applyFill="1" applyBorder="1" applyAlignment="1">
      <alignment horizontal="right" vertical="center"/>
    </xf>
    <xf numFmtId="187" fontId="66" fillId="0" borderId="70" xfId="0" applyNumberFormat="1" applyFont="1" applyFill="1" applyBorder="1" applyAlignment="1">
      <alignment horizontal="right" vertical="center"/>
    </xf>
    <xf numFmtId="187" fontId="66" fillId="0" borderId="58" xfId="0" applyNumberFormat="1" applyFont="1" applyFill="1" applyBorder="1" applyAlignment="1" applyProtection="1">
      <alignment horizontal="right" vertical="center"/>
      <protection/>
    </xf>
    <xf numFmtId="187" fontId="66" fillId="0" borderId="47" xfId="0" applyNumberFormat="1" applyFont="1" applyFill="1" applyBorder="1" applyAlignment="1" applyProtection="1">
      <alignment horizontal="right" vertical="center"/>
      <protection/>
    </xf>
    <xf numFmtId="187" fontId="66" fillId="0" borderId="47" xfId="0" applyNumberFormat="1" applyFont="1" applyFill="1" applyBorder="1" applyAlignment="1">
      <alignment horizontal="right" vertical="center"/>
    </xf>
    <xf numFmtId="187" fontId="66" fillId="0" borderId="46" xfId="0" applyNumberFormat="1" applyFont="1" applyFill="1" applyBorder="1" applyAlignment="1" applyProtection="1">
      <alignment horizontal="right" vertical="center"/>
      <protection/>
    </xf>
    <xf numFmtId="187" fontId="66" fillId="0" borderId="23" xfId="0" applyNumberFormat="1" applyFont="1" applyFill="1" applyBorder="1" applyAlignment="1">
      <alignment horizontal="right" vertical="center"/>
    </xf>
    <xf numFmtId="187" fontId="66" fillId="0" borderId="50" xfId="0" applyNumberFormat="1" applyFont="1" applyFill="1" applyBorder="1" applyAlignment="1">
      <alignment horizontal="right" vertical="center"/>
    </xf>
    <xf numFmtId="187" fontId="66" fillId="0" borderId="40" xfId="0" applyNumberFormat="1" applyFont="1" applyFill="1" applyBorder="1" applyAlignment="1">
      <alignment horizontal="right" vertical="center"/>
    </xf>
    <xf numFmtId="187" fontId="66" fillId="0" borderId="71" xfId="0" applyNumberFormat="1" applyFont="1" applyFill="1" applyBorder="1" applyAlignment="1">
      <alignment horizontal="right" vertical="center"/>
    </xf>
    <xf numFmtId="187" fontId="66" fillId="0" borderId="64" xfId="0" applyNumberFormat="1" applyFont="1" applyFill="1" applyBorder="1" applyAlignment="1">
      <alignment horizontal="right" vertical="center"/>
    </xf>
    <xf numFmtId="187" fontId="6" fillId="33" borderId="74" xfId="0" applyNumberFormat="1" applyFont="1" applyFill="1" applyBorder="1" applyAlignment="1">
      <alignment vertical="center"/>
    </xf>
    <xf numFmtId="187" fontId="6" fillId="33" borderId="75" xfId="0" applyNumberFormat="1" applyFont="1" applyFill="1" applyBorder="1" applyAlignment="1">
      <alignment vertical="center"/>
    </xf>
    <xf numFmtId="187" fontId="6" fillId="33" borderId="75" xfId="0" applyNumberFormat="1" applyFont="1" applyFill="1" applyBorder="1" applyAlignment="1" applyProtection="1">
      <alignment vertical="center"/>
      <protection locked="0"/>
    </xf>
    <xf numFmtId="187" fontId="6" fillId="33" borderId="51" xfId="0" applyNumberFormat="1" applyFont="1" applyFill="1" applyBorder="1" applyAlignment="1" applyProtection="1">
      <alignment vertical="center"/>
      <protection/>
    </xf>
    <xf numFmtId="187" fontId="6" fillId="33" borderId="74" xfId="0" applyNumberFormat="1" applyFont="1" applyFill="1" applyBorder="1" applyAlignment="1" applyProtection="1">
      <alignment vertical="center"/>
      <protection locked="0"/>
    </xf>
    <xf numFmtId="187" fontId="6" fillId="33" borderId="80" xfId="0" applyNumberFormat="1" applyFont="1" applyFill="1" applyBorder="1" applyAlignment="1" applyProtection="1">
      <alignment vertical="center"/>
      <protection/>
    </xf>
    <xf numFmtId="187" fontId="6" fillId="33" borderId="28" xfId="0" applyNumberFormat="1" applyFont="1" applyFill="1" applyBorder="1" applyAlignment="1" applyProtection="1">
      <alignment vertical="center"/>
      <protection locked="0"/>
    </xf>
    <xf numFmtId="181" fontId="6" fillId="0" borderId="74" xfId="0" applyNumberFormat="1" applyFont="1" applyFill="1" applyBorder="1" applyAlignment="1" applyProtection="1">
      <alignment horizontal="right" vertical="center"/>
      <protection/>
    </xf>
    <xf numFmtId="181" fontId="6" fillId="0" borderId="75" xfId="0" applyNumberFormat="1" applyFont="1" applyFill="1" applyBorder="1" applyAlignment="1">
      <alignment horizontal="right" vertical="center"/>
    </xf>
    <xf numFmtId="181" fontId="6" fillId="0" borderId="51" xfId="0" applyNumberFormat="1" applyFont="1" applyFill="1" applyBorder="1" applyAlignment="1">
      <alignment horizontal="right" vertical="center"/>
    </xf>
    <xf numFmtId="181" fontId="6" fillId="0" borderId="75" xfId="0" applyNumberFormat="1" applyFont="1" applyFill="1" applyBorder="1" applyAlignment="1" applyProtection="1">
      <alignment horizontal="right" vertical="center"/>
      <protection/>
    </xf>
    <xf numFmtId="181" fontId="6" fillId="0" borderId="51" xfId="0" applyNumberFormat="1" applyFont="1" applyFill="1" applyBorder="1" applyAlignment="1" applyProtection="1">
      <alignment horizontal="right" vertical="center"/>
      <protection/>
    </xf>
    <xf numFmtId="181" fontId="6" fillId="0" borderId="80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 applyProtection="1">
      <alignment horizontal="right" vertical="center"/>
      <protection locked="0"/>
    </xf>
    <xf numFmtId="187" fontId="6" fillId="0" borderId="47" xfId="0" applyNumberFormat="1" applyFont="1" applyFill="1" applyBorder="1" applyAlignment="1">
      <alignment horizontal="right" vertical="center"/>
    </xf>
    <xf numFmtId="187" fontId="6" fillId="0" borderId="47" xfId="0" applyNumberFormat="1" applyFont="1" applyFill="1" applyBorder="1" applyAlignment="1" applyProtection="1">
      <alignment horizontal="right" vertical="center"/>
      <protection/>
    </xf>
    <xf numFmtId="187" fontId="6" fillId="0" borderId="68" xfId="0" applyNumberFormat="1" applyFont="1" applyFill="1" applyBorder="1" applyAlignment="1" applyProtection="1">
      <alignment horizontal="right" vertical="center"/>
      <protection/>
    </xf>
    <xf numFmtId="187" fontId="6" fillId="0" borderId="58" xfId="0" applyNumberFormat="1" applyFont="1" applyFill="1" applyBorder="1" applyAlignment="1">
      <alignment horizontal="right" vertical="center"/>
    </xf>
    <xf numFmtId="187" fontId="6" fillId="0" borderId="27" xfId="0" applyNumberFormat="1" applyFont="1" applyFill="1" applyBorder="1" applyAlignment="1">
      <alignment horizontal="right" vertical="center"/>
    </xf>
    <xf numFmtId="187" fontId="6" fillId="0" borderId="27" xfId="0" applyNumberFormat="1" applyFont="1" applyFill="1" applyBorder="1" applyAlignment="1" applyProtection="1">
      <alignment horizontal="right" vertical="center"/>
      <protection locked="0"/>
    </xf>
    <xf numFmtId="190" fontId="13" fillId="0" borderId="75" xfId="0" applyNumberFormat="1" applyFont="1" applyFill="1" applyBorder="1" applyAlignment="1" applyProtection="1">
      <alignment horizontal="right" vertical="center"/>
      <protection/>
    </xf>
    <xf numFmtId="181" fontId="13" fillId="33" borderId="47" xfId="0" applyNumberFormat="1" applyFont="1" applyFill="1" applyBorder="1" applyAlignment="1">
      <alignment horizontal="right" vertical="center"/>
    </xf>
    <xf numFmtId="187" fontId="13" fillId="0" borderId="75" xfId="0" applyNumberFormat="1" applyFont="1" applyFill="1" applyBorder="1" applyAlignment="1" applyProtection="1">
      <alignment horizontal="right" vertical="center"/>
      <protection/>
    </xf>
    <xf numFmtId="187" fontId="13" fillId="0" borderId="51" xfId="0" applyNumberFormat="1" applyFont="1" applyFill="1" applyBorder="1" applyAlignment="1">
      <alignment horizontal="right" vertical="center"/>
    </xf>
    <xf numFmtId="187" fontId="13" fillId="0" borderId="94" xfId="0" applyNumberFormat="1" applyFont="1" applyFill="1" applyBorder="1" applyAlignment="1" applyProtection="1">
      <alignment horizontal="right" vertical="center"/>
      <protection/>
    </xf>
    <xf numFmtId="39" fontId="13" fillId="33" borderId="47" xfId="0" applyNumberFormat="1" applyFont="1" applyFill="1" applyBorder="1" applyAlignment="1">
      <alignment horizontal="right" vertical="center"/>
    </xf>
    <xf numFmtId="190" fontId="13" fillId="0" borderId="79" xfId="0" applyNumberFormat="1" applyFont="1" applyFill="1" applyBorder="1" applyAlignment="1" applyProtection="1">
      <alignment horizontal="right" vertical="center"/>
      <protection/>
    </xf>
    <xf numFmtId="190" fontId="13" fillId="0" borderId="28" xfId="0" applyNumberFormat="1" applyFont="1" applyFill="1" applyBorder="1" applyAlignment="1">
      <alignment horizontal="right" vertical="center"/>
    </xf>
    <xf numFmtId="187" fontId="6" fillId="0" borderId="92" xfId="0" applyNumberFormat="1" applyFont="1" applyFill="1" applyBorder="1" applyAlignment="1" applyProtection="1">
      <alignment horizontal="right" vertical="center"/>
      <protection/>
    </xf>
    <xf numFmtId="187" fontId="6" fillId="0" borderId="94" xfId="0" applyNumberFormat="1" applyFont="1" applyFill="1" applyBorder="1" applyAlignment="1">
      <alignment horizontal="right" vertical="center"/>
    </xf>
    <xf numFmtId="187" fontId="6" fillId="0" borderId="58" xfId="0" applyNumberFormat="1" applyFont="1" applyFill="1" applyBorder="1" applyAlignment="1" applyProtection="1">
      <alignment horizontal="right" vertical="center"/>
      <protection/>
    </xf>
    <xf numFmtId="187" fontId="6" fillId="0" borderId="47" xfId="0" applyNumberFormat="1" applyFont="1" applyFill="1" applyBorder="1" applyAlignment="1" applyProtection="1">
      <alignment horizontal="right" vertical="center"/>
      <protection locked="0"/>
    </xf>
    <xf numFmtId="187" fontId="6" fillId="0" borderId="27" xfId="0" applyNumberFormat="1" applyFont="1" applyFill="1" applyBorder="1" applyAlignment="1" applyProtection="1">
      <alignment horizontal="right" vertical="center"/>
      <protection/>
    </xf>
    <xf numFmtId="187" fontId="6" fillId="0" borderId="74" xfId="0" applyNumberFormat="1" applyFont="1" applyFill="1" applyBorder="1" applyAlignment="1">
      <alignment horizontal="right" vertical="center"/>
    </xf>
    <xf numFmtId="187" fontId="6" fillId="0" borderId="51" xfId="0" applyNumberFormat="1" applyFont="1" applyFill="1" applyBorder="1" applyAlignment="1">
      <alignment horizontal="right" vertical="center"/>
    </xf>
    <xf numFmtId="187" fontId="6" fillId="0" borderId="75" xfId="0" applyNumberFormat="1" applyFont="1" applyFill="1" applyBorder="1" applyAlignment="1" applyProtection="1">
      <alignment horizontal="right" vertical="center"/>
      <protection locked="0"/>
    </xf>
    <xf numFmtId="187" fontId="6" fillId="33" borderId="75" xfId="0" applyNumberFormat="1" applyFont="1" applyFill="1" applyBorder="1" applyAlignment="1">
      <alignment horizontal="right" vertical="center"/>
    </xf>
    <xf numFmtId="187" fontId="6" fillId="0" borderId="28" xfId="0" applyNumberFormat="1" applyFont="1" applyFill="1" applyBorder="1" applyAlignment="1" applyProtection="1">
      <alignment horizontal="right" vertical="center"/>
      <protection/>
    </xf>
    <xf numFmtId="177" fontId="6" fillId="0" borderId="28" xfId="0" applyNumberFormat="1" applyFont="1" applyFill="1" applyBorder="1" applyAlignment="1">
      <alignment horizontal="right" vertical="center"/>
    </xf>
    <xf numFmtId="177" fontId="6" fillId="0" borderId="92" xfId="0" applyNumberFormat="1" applyFont="1" applyFill="1" applyBorder="1" applyAlignment="1">
      <alignment horizontal="right" vertical="center"/>
    </xf>
    <xf numFmtId="177" fontId="6" fillId="0" borderId="75" xfId="0" applyNumberFormat="1" applyFont="1" applyFill="1" applyBorder="1" applyAlignment="1">
      <alignment horizontal="right" vertical="center"/>
    </xf>
    <xf numFmtId="177" fontId="6" fillId="0" borderId="51" xfId="0" applyNumberFormat="1" applyFont="1" applyFill="1" applyBorder="1" applyAlignment="1">
      <alignment horizontal="right" vertical="center"/>
    </xf>
    <xf numFmtId="177" fontId="6" fillId="0" borderId="28" xfId="0" applyNumberFormat="1" applyFont="1" applyFill="1" applyBorder="1" applyAlignment="1" applyProtection="1">
      <alignment horizontal="right" vertical="center"/>
      <protection locked="0"/>
    </xf>
    <xf numFmtId="190" fontId="6" fillId="33" borderId="27" xfId="0" applyNumberFormat="1" applyFont="1" applyFill="1" applyBorder="1" applyAlignment="1" applyProtection="1">
      <alignment horizontal="right" vertical="center"/>
      <protection locked="0"/>
    </xf>
    <xf numFmtId="187" fontId="66" fillId="0" borderId="72" xfId="0" applyNumberFormat="1" applyFont="1" applyFill="1" applyBorder="1" applyAlignment="1">
      <alignment horizontal="right" vertical="center"/>
    </xf>
    <xf numFmtId="187" fontId="6" fillId="33" borderId="0" xfId="0" applyNumberFormat="1" applyFont="1" applyFill="1" applyBorder="1" applyAlignment="1" applyProtection="1">
      <alignment horizontal="right" vertical="center"/>
      <protection locked="0"/>
    </xf>
    <xf numFmtId="39" fontId="66" fillId="0" borderId="18" xfId="0" applyNumberFormat="1" applyFont="1" applyFill="1" applyBorder="1" applyAlignment="1">
      <alignment horizontal="right" vertical="center"/>
    </xf>
    <xf numFmtId="177" fontId="23" fillId="0" borderId="0" xfId="0" applyNumberFormat="1" applyFont="1" applyAlignment="1" applyProtection="1">
      <alignment horizontal="center"/>
      <protection locked="0"/>
    </xf>
    <xf numFmtId="181" fontId="6" fillId="0" borderId="48" xfId="0" applyNumberFormat="1" applyFont="1" applyFill="1" applyBorder="1" applyAlignment="1">
      <alignment horizontal="center" vertical="center"/>
    </xf>
    <xf numFmtId="181" fontId="6" fillId="0" borderId="61" xfId="0" applyNumberFormat="1" applyFont="1" applyFill="1" applyBorder="1" applyAlignment="1">
      <alignment horizontal="center" vertical="center"/>
    </xf>
    <xf numFmtId="181" fontId="6" fillId="0" borderId="30" xfId="0" applyNumberFormat="1" applyFont="1" applyFill="1" applyBorder="1" applyAlignment="1">
      <alignment horizontal="center" vertical="center"/>
    </xf>
    <xf numFmtId="181" fontId="6" fillId="0" borderId="46" xfId="0" applyNumberFormat="1" applyFont="1" applyFill="1" applyBorder="1" applyAlignment="1">
      <alignment horizontal="center" vertical="center"/>
    </xf>
    <xf numFmtId="181" fontId="6" fillId="0" borderId="38" xfId="0" applyNumberFormat="1" applyFont="1" applyFill="1" applyBorder="1" applyAlignment="1">
      <alignment horizontal="center" vertical="center"/>
    </xf>
    <xf numFmtId="177" fontId="0" fillId="0" borderId="69" xfId="0" applyNumberFormat="1" applyFont="1" applyBorder="1" applyAlignment="1" applyProtection="1">
      <alignment horizontal="center" vertical="center"/>
      <protection locked="0"/>
    </xf>
    <xf numFmtId="181" fontId="6" fillId="0" borderId="36" xfId="0" applyNumberFormat="1" applyFont="1" applyFill="1" applyBorder="1" applyAlignment="1" applyProtection="1">
      <alignment horizontal="center" vertical="center"/>
      <protection/>
    </xf>
    <xf numFmtId="181" fontId="6" fillId="0" borderId="38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181" fontId="6" fillId="0" borderId="69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 applyProtection="1">
      <alignment horizontal="center" vertical="center"/>
      <protection locked="0"/>
    </xf>
    <xf numFmtId="177" fontId="6" fillId="0" borderId="61" xfId="0" applyNumberFormat="1" applyFont="1" applyFill="1" applyBorder="1" applyAlignment="1" applyProtection="1">
      <alignment horizontal="center" vertical="center"/>
      <protection locked="0"/>
    </xf>
    <xf numFmtId="177" fontId="6" fillId="0" borderId="30" xfId="0" applyNumberFormat="1" applyFont="1" applyFill="1" applyBorder="1" applyAlignment="1" applyProtection="1">
      <alignment horizontal="center" vertical="center"/>
      <protection locked="0"/>
    </xf>
    <xf numFmtId="181" fontId="6" fillId="0" borderId="36" xfId="0" applyNumberFormat="1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 applyProtection="1">
      <alignment horizontal="center" vertical="center"/>
      <protection locked="0"/>
    </xf>
    <xf numFmtId="177" fontId="6" fillId="0" borderId="69" xfId="0" applyNumberFormat="1" applyFont="1" applyFill="1" applyBorder="1" applyAlignment="1" applyProtection="1">
      <alignment horizontal="center" vertical="center"/>
      <protection locked="0"/>
    </xf>
    <xf numFmtId="181" fontId="6" fillId="0" borderId="25" xfId="0" applyNumberFormat="1" applyFont="1" applyFill="1" applyBorder="1" applyAlignment="1" applyProtection="1">
      <alignment horizontal="center" vertical="center"/>
      <protection/>
    </xf>
    <xf numFmtId="181" fontId="6" fillId="0" borderId="34" xfId="0" applyNumberFormat="1" applyFont="1" applyFill="1" applyBorder="1" applyAlignment="1" applyProtection="1">
      <alignment horizontal="center" vertical="center"/>
      <protection/>
    </xf>
    <xf numFmtId="181" fontId="6" fillId="0" borderId="30" xfId="0" applyNumberFormat="1" applyFont="1" applyFill="1" applyBorder="1" applyAlignment="1" applyProtection="1">
      <alignment horizontal="center" vertical="center"/>
      <protection/>
    </xf>
    <xf numFmtId="181" fontId="6" fillId="0" borderId="46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38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69" xfId="0" applyNumberFormat="1" applyFont="1" applyFill="1" applyBorder="1" applyAlignment="1" applyProtection="1">
      <alignment horizontal="center" vertical="center" wrapText="1" shrinkToFit="1"/>
      <protection/>
    </xf>
    <xf numFmtId="177" fontId="6" fillId="0" borderId="25" xfId="0" applyNumberFormat="1" applyFont="1" applyFill="1" applyBorder="1" applyAlignment="1" applyProtection="1">
      <alignment horizontal="center" vertical="center"/>
      <protection locked="0"/>
    </xf>
    <xf numFmtId="177" fontId="6" fillId="0" borderId="34" xfId="0" applyNumberFormat="1" applyFont="1" applyFill="1" applyBorder="1" applyAlignment="1" applyProtection="1">
      <alignment horizontal="center" vertical="center"/>
      <protection locked="0"/>
    </xf>
    <xf numFmtId="181" fontId="69" fillId="0" borderId="20" xfId="0" applyNumberFormat="1" applyFont="1" applyFill="1" applyBorder="1" applyAlignment="1" applyProtection="1">
      <alignment horizontal="center" vertical="center" wrapText="1"/>
      <protection/>
    </xf>
    <xf numFmtId="181" fontId="69" fillId="0" borderId="13" xfId="0" applyNumberFormat="1" applyFont="1" applyFill="1" applyBorder="1" applyAlignment="1" applyProtection="1">
      <alignment horizontal="center" vertical="center" wrapText="1"/>
      <protection/>
    </xf>
    <xf numFmtId="181" fontId="66" fillId="0" borderId="20" xfId="0" applyNumberFormat="1" applyFont="1" applyFill="1" applyBorder="1" applyAlignment="1" applyProtection="1">
      <alignment horizontal="center" vertical="center" wrapText="1"/>
      <protection/>
    </xf>
    <xf numFmtId="181" fontId="66" fillId="0" borderId="13" xfId="0" applyNumberFormat="1" applyFont="1" applyFill="1" applyBorder="1" applyAlignment="1" applyProtection="1">
      <alignment horizontal="center" vertical="center" wrapText="1"/>
      <protection/>
    </xf>
    <xf numFmtId="181" fontId="66" fillId="0" borderId="20" xfId="0" applyNumberFormat="1" applyFont="1" applyFill="1" applyBorder="1" applyAlignment="1" applyProtection="1">
      <alignment horizontal="center" vertical="center" wrapText="1" shrinkToFit="1"/>
      <protection/>
    </xf>
    <xf numFmtId="181" fontId="66" fillId="0" borderId="13" xfId="0" applyNumberFormat="1" applyFont="1" applyFill="1" applyBorder="1" applyAlignment="1" applyProtection="1">
      <alignment horizontal="center" vertical="center" wrapText="1" shrinkToFit="1"/>
      <protection/>
    </xf>
    <xf numFmtId="181" fontId="68" fillId="0" borderId="20" xfId="0" applyNumberFormat="1" applyFont="1" applyFill="1" applyBorder="1" applyAlignment="1" applyProtection="1">
      <alignment horizontal="center" vertical="center" wrapText="1" shrinkToFit="1"/>
      <protection/>
    </xf>
    <xf numFmtId="181" fontId="68" fillId="0" borderId="13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11" xfId="0" applyNumberFormat="1" applyFont="1" applyFill="1" applyBorder="1" applyAlignment="1" applyProtection="1">
      <alignment horizontal="center" vertical="center" shrinkToFit="1"/>
      <protection/>
    </xf>
    <xf numFmtId="181" fontId="6" fillId="0" borderId="17" xfId="0" applyNumberFormat="1" applyFont="1" applyFill="1" applyBorder="1" applyAlignment="1" applyProtection="1">
      <alignment horizontal="center" vertical="center" shrinkToFit="1"/>
      <protection/>
    </xf>
    <xf numFmtId="181" fontId="70" fillId="0" borderId="20" xfId="0" applyNumberFormat="1" applyFont="1" applyFill="1" applyBorder="1" applyAlignment="1">
      <alignment horizontal="center" vertical="center" wrapText="1"/>
    </xf>
    <xf numFmtId="181" fontId="70" fillId="0" borderId="13" xfId="0" applyNumberFormat="1" applyFont="1" applyFill="1" applyBorder="1" applyAlignment="1">
      <alignment horizontal="center" vertical="center" wrapText="1"/>
    </xf>
    <xf numFmtId="181" fontId="66" fillId="0" borderId="20" xfId="0" applyNumberFormat="1" applyFont="1" applyFill="1" applyBorder="1" applyAlignment="1">
      <alignment horizontal="center" vertical="center" shrinkToFit="1"/>
    </xf>
    <xf numFmtId="181" fontId="66" fillId="0" borderId="13" xfId="0" applyNumberFormat="1" applyFont="1" applyFill="1" applyBorder="1" applyAlignment="1">
      <alignment horizontal="center" vertical="center" shrinkToFit="1"/>
    </xf>
    <xf numFmtId="181" fontId="6" fillId="0" borderId="41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35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20" xfId="0" applyNumberFormat="1" applyFont="1" applyFill="1" applyBorder="1" applyAlignment="1" applyProtection="1">
      <alignment horizontal="center" vertical="center" shrinkToFit="1"/>
      <protection/>
    </xf>
    <xf numFmtId="181" fontId="6" fillId="0" borderId="13" xfId="0" applyNumberFormat="1" applyFont="1" applyFill="1" applyBorder="1" applyAlignment="1" applyProtection="1">
      <alignment horizontal="center" vertical="center" shrinkToFit="1"/>
      <protection/>
    </xf>
    <xf numFmtId="181" fontId="6" fillId="0" borderId="20" xfId="0" applyNumberFormat="1" applyFont="1" applyFill="1" applyBorder="1" applyAlignment="1">
      <alignment horizontal="center" vertical="center" shrinkToFit="1"/>
    </xf>
    <xf numFmtId="181" fontId="6" fillId="0" borderId="13" xfId="0" applyNumberFormat="1" applyFont="1" applyFill="1" applyBorder="1" applyAlignment="1">
      <alignment horizontal="center" vertical="center" shrinkToFit="1"/>
    </xf>
    <xf numFmtId="181" fontId="6" fillId="0" borderId="48" xfId="0" applyNumberFormat="1" applyFont="1" applyFill="1" applyBorder="1" applyAlignment="1" applyProtection="1">
      <alignment horizontal="center" vertical="center"/>
      <protection/>
    </xf>
    <xf numFmtId="181" fontId="6" fillId="0" borderId="61" xfId="0" applyNumberFormat="1" applyFont="1" applyFill="1" applyBorder="1" applyAlignment="1" applyProtection="1">
      <alignment horizontal="center" vertical="center"/>
      <protection/>
    </xf>
    <xf numFmtId="181" fontId="15" fillId="0" borderId="20" xfId="0" applyNumberFormat="1" applyFont="1" applyFill="1" applyBorder="1" applyAlignment="1" applyProtection="1">
      <alignment horizontal="center" vertical="center" wrapText="1" shrinkToFit="1"/>
      <protection/>
    </xf>
    <xf numFmtId="181" fontId="15" fillId="0" borderId="13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20" xfId="0" applyNumberFormat="1" applyFont="1" applyFill="1" applyBorder="1" applyAlignment="1">
      <alignment horizontal="center"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1" fontId="66" fillId="0" borderId="41" xfId="0" applyNumberFormat="1" applyFont="1" applyFill="1" applyBorder="1" applyAlignment="1" applyProtection="1">
      <alignment horizontal="center" vertical="center" wrapText="1"/>
      <protection/>
    </xf>
    <xf numFmtId="181" fontId="66" fillId="0" borderId="35" xfId="0" applyNumberFormat="1" applyFont="1" applyFill="1" applyBorder="1" applyAlignment="1" applyProtection="1">
      <alignment horizontal="center" vertical="center" wrapText="1"/>
      <protection/>
    </xf>
    <xf numFmtId="181" fontId="6" fillId="0" borderId="20" xfId="0" applyNumberFormat="1" applyFont="1" applyFill="1" applyBorder="1" applyAlignment="1">
      <alignment horizontal="center" vertical="center" wrapText="1" shrinkToFit="1"/>
    </xf>
    <xf numFmtId="181" fontId="6" fillId="0" borderId="13" xfId="0" applyNumberFormat="1" applyFont="1" applyFill="1" applyBorder="1" applyAlignment="1">
      <alignment horizontal="center" vertical="center" wrapText="1" shrinkToFit="1"/>
    </xf>
    <xf numFmtId="181" fontId="6" fillId="0" borderId="19" xfId="0" applyNumberFormat="1" applyFont="1" applyFill="1" applyBorder="1" applyAlignment="1" applyProtection="1">
      <alignment horizontal="center" vertical="center"/>
      <protection/>
    </xf>
    <xf numFmtId="181" fontId="6" fillId="0" borderId="12" xfId="0" applyNumberFormat="1" applyFont="1" applyFill="1" applyBorder="1" applyAlignment="1" applyProtection="1">
      <alignment horizontal="center" vertical="center"/>
      <protection/>
    </xf>
    <xf numFmtId="181" fontId="6" fillId="0" borderId="21" xfId="0" applyNumberFormat="1" applyFont="1" applyFill="1" applyBorder="1" applyAlignment="1" applyProtection="1">
      <alignment horizontal="center" vertical="center"/>
      <protection/>
    </xf>
    <xf numFmtId="181" fontId="6" fillId="0" borderId="31" xfId="0" applyNumberFormat="1" applyFont="1" applyFill="1" applyBorder="1" applyAlignment="1">
      <alignment horizontal="center" vertical="center" wrapText="1"/>
    </xf>
    <xf numFmtId="181" fontId="6" fillId="0" borderId="32" xfId="0" applyNumberFormat="1" applyFont="1" applyFill="1" applyBorder="1" applyAlignment="1">
      <alignment horizontal="center" vertical="center" wrapText="1"/>
    </xf>
    <xf numFmtId="181" fontId="66" fillId="0" borderId="98" xfId="0" applyNumberFormat="1" applyFont="1" applyFill="1" applyBorder="1" applyAlignment="1" applyProtection="1">
      <alignment horizontal="center" vertical="center" shrinkToFit="1"/>
      <protection/>
    </xf>
    <xf numFmtId="181" fontId="66" fillId="0" borderId="43" xfId="0" applyNumberFormat="1" applyFont="1" applyFill="1" applyBorder="1" applyAlignment="1" applyProtection="1">
      <alignment horizontal="center" vertical="center" shrinkToFit="1"/>
      <protection/>
    </xf>
    <xf numFmtId="177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81" fontId="66" fillId="0" borderId="42" xfId="0" applyNumberFormat="1" applyFont="1" applyFill="1" applyBorder="1" applyAlignment="1" applyProtection="1">
      <alignment horizontal="center" vertical="center" shrinkToFit="1"/>
      <protection/>
    </xf>
    <xf numFmtId="181" fontId="66" fillId="0" borderId="20" xfId="0" applyNumberFormat="1" applyFont="1" applyFill="1" applyBorder="1" applyAlignment="1" applyProtection="1">
      <alignment horizontal="center" vertical="center" shrinkToFit="1"/>
      <protection/>
    </xf>
    <xf numFmtId="181" fontId="66" fillId="0" borderId="13" xfId="0" applyNumberFormat="1" applyFont="1" applyFill="1" applyBorder="1" applyAlignment="1" applyProtection="1">
      <alignment horizontal="center" vertical="center" shrinkToFit="1"/>
      <protection/>
    </xf>
    <xf numFmtId="181" fontId="68" fillId="0" borderId="78" xfId="0" applyNumberFormat="1" applyFont="1" applyFill="1" applyBorder="1" applyAlignment="1">
      <alignment horizontal="center" vertical="center" wrapText="1" shrinkToFit="1"/>
    </xf>
    <xf numFmtId="181" fontId="68" fillId="0" borderId="13" xfId="0" applyNumberFormat="1" applyFont="1" applyFill="1" applyBorder="1" applyAlignment="1">
      <alignment horizontal="center" vertical="center" wrapText="1" shrinkToFit="1"/>
    </xf>
    <xf numFmtId="181" fontId="6" fillId="0" borderId="4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horizontal="center" vertical="center"/>
      <protection locked="0"/>
    </xf>
    <xf numFmtId="181" fontId="15" fillId="0" borderId="34" xfId="0" applyNumberFormat="1" applyFont="1" applyFill="1" applyBorder="1" applyAlignment="1" applyProtection="1">
      <alignment horizontal="center" vertical="center" wrapText="1"/>
      <protection/>
    </xf>
    <xf numFmtId="181" fontId="15" fillId="0" borderId="30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Alignment="1" applyProtection="1">
      <alignment horizontal="right" vertical="center"/>
      <protection locked="0"/>
    </xf>
    <xf numFmtId="181" fontId="6" fillId="0" borderId="48" xfId="0" applyNumberFormat="1" applyFont="1" applyFill="1" applyBorder="1" applyAlignment="1" applyProtection="1">
      <alignment horizontal="center" vertical="center" wrapText="1"/>
      <protection/>
    </xf>
    <xf numFmtId="181" fontId="6" fillId="0" borderId="30" xfId="0" applyNumberFormat="1" applyFont="1" applyFill="1" applyBorder="1" applyAlignment="1" applyProtection="1">
      <alignment horizontal="center" vertical="center" wrapText="1"/>
      <protection/>
    </xf>
    <xf numFmtId="181" fontId="15" fillId="0" borderId="25" xfId="0" applyNumberFormat="1" applyFont="1" applyFill="1" applyBorder="1" applyAlignment="1" applyProtection="1">
      <alignment horizontal="center" vertical="center" wrapText="1"/>
      <protection/>
    </xf>
    <xf numFmtId="181" fontId="15" fillId="0" borderId="30" xfId="0" applyNumberFormat="1" applyFont="1" applyFill="1" applyBorder="1" applyAlignment="1" applyProtection="1">
      <alignment horizontal="center" vertical="center" wrapText="1"/>
      <protection/>
    </xf>
    <xf numFmtId="181" fontId="6" fillId="0" borderId="42" xfId="0" applyNumberFormat="1" applyFont="1" applyFill="1" applyBorder="1" applyAlignment="1">
      <alignment horizontal="center" vertical="center"/>
    </xf>
    <xf numFmtId="181" fontId="6" fillId="0" borderId="98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69" xfId="0" applyNumberFormat="1" applyFont="1" applyFill="1" applyBorder="1" applyAlignment="1">
      <alignment horizontal="center" vertical="center"/>
    </xf>
    <xf numFmtId="177" fontId="6" fillId="0" borderId="99" xfId="0" applyNumberFormat="1" applyFont="1" applyFill="1" applyBorder="1" applyAlignment="1">
      <alignment horizontal="center" vertical="center"/>
    </xf>
    <xf numFmtId="177" fontId="6" fillId="0" borderId="100" xfId="0" applyNumberFormat="1" applyFont="1" applyFill="1" applyBorder="1" applyAlignment="1">
      <alignment horizontal="center" vertical="center"/>
    </xf>
    <xf numFmtId="181" fontId="6" fillId="0" borderId="75" xfId="0" applyNumberFormat="1" applyFont="1" applyFill="1" applyBorder="1" applyAlignment="1" applyProtection="1">
      <alignment horizontal="center" vertical="center" shrinkToFit="1"/>
      <protection/>
    </xf>
    <xf numFmtId="181" fontId="6" fillId="0" borderId="75" xfId="0" applyNumberFormat="1" applyFont="1" applyFill="1" applyBorder="1" applyAlignment="1" applyProtection="1">
      <alignment horizontal="center" vertical="center" wrapText="1" shrinkToFit="1"/>
      <protection/>
    </xf>
    <xf numFmtId="181" fontId="6" fillId="0" borderId="74" xfId="0" applyNumberFormat="1" applyFont="1" applyFill="1" applyBorder="1" applyAlignment="1" applyProtection="1">
      <alignment horizontal="center" vertical="center" shrinkToFit="1"/>
      <protection/>
    </xf>
    <xf numFmtId="181" fontId="6" fillId="0" borderId="75" xfId="0" applyNumberFormat="1" applyFont="1" applyFill="1" applyBorder="1" applyAlignment="1">
      <alignment horizontal="center" vertical="center" shrinkToFit="1"/>
    </xf>
    <xf numFmtId="181" fontId="6" fillId="0" borderId="75" xfId="0" applyNumberFormat="1" applyFont="1" applyFill="1" applyBorder="1" applyAlignment="1" applyProtection="1">
      <alignment horizontal="center" vertical="center" wrapText="1"/>
      <protection/>
    </xf>
    <xf numFmtId="181" fontId="15" fillId="0" borderId="75" xfId="0" applyNumberFormat="1" applyFont="1" applyFill="1" applyBorder="1" applyAlignment="1">
      <alignment horizontal="center" vertical="center" wrapText="1" shrinkToFit="1"/>
    </xf>
    <xf numFmtId="177" fontId="6" fillId="0" borderId="28" xfId="0" applyNumberFormat="1" applyFont="1" applyFill="1" applyBorder="1" applyAlignment="1" applyProtection="1">
      <alignment horizontal="right" vertical="center" wrapText="1"/>
      <protection locked="0"/>
    </xf>
    <xf numFmtId="39" fontId="66" fillId="0" borderId="62" xfId="0" applyNumberFormat="1" applyFont="1" applyFill="1" applyBorder="1" applyAlignment="1" applyProtection="1">
      <alignment horizontal="right" vertical="center" wrapText="1" shrinkToFit="1"/>
      <protection/>
    </xf>
    <xf numFmtId="181" fontId="6" fillId="0" borderId="47" xfId="0" applyNumberFormat="1" applyFont="1" applyFill="1" applyBorder="1" applyAlignment="1" applyProtection="1">
      <alignment horizontal="center" vertical="center" shrinkToFit="1"/>
      <protection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304800</xdr:colOff>
      <xdr:row>20</xdr:row>
      <xdr:rowOff>438150</xdr:rowOff>
    </xdr:from>
    <xdr:to>
      <xdr:col>23</xdr:col>
      <xdr:colOff>0</xdr:colOff>
      <xdr:row>20</xdr:row>
      <xdr:rowOff>666750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21697950" y="1415415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尾崎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1888450" y="16897350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</a:t>
          </a:r>
        </a:p>
      </xdr:txBody>
    </xdr:sp>
    <xdr:clientData/>
  </xdr:twoCellAnchor>
  <xdr:twoCellAnchor>
    <xdr:from>
      <xdr:col>22</xdr:col>
      <xdr:colOff>495300</xdr:colOff>
      <xdr:row>24</xdr:row>
      <xdr:rowOff>438150</xdr:rowOff>
    </xdr:from>
    <xdr:to>
      <xdr:col>23</xdr:col>
      <xdr:colOff>38100</xdr:colOff>
      <xdr:row>24</xdr:row>
      <xdr:rowOff>666750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21888450" y="16897350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9</xdr:row>
      <xdr:rowOff>438150</xdr:rowOff>
    </xdr:from>
    <xdr:to>
      <xdr:col>26</xdr:col>
      <xdr:colOff>342900</xdr:colOff>
      <xdr:row>9</xdr:row>
      <xdr:rowOff>647700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298275" y="5886450"/>
          <a:ext cx="1266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BK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シードレス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7</xdr:row>
      <xdr:rowOff>76200</xdr:rowOff>
    </xdr:from>
    <xdr:to>
      <xdr:col>15</xdr:col>
      <xdr:colOff>666750</xdr:colOff>
      <xdr:row>7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678025" y="48768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紅陽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4:D16"/>
  <sheetViews>
    <sheetView zoomScalePageLayoutView="0" workbookViewId="0" topLeftCell="A1">
      <selection activeCell="G15" sqref="G15"/>
    </sheetView>
  </sheetViews>
  <sheetFormatPr defaultColWidth="9.00390625" defaultRowHeight="14.25"/>
  <cols>
    <col min="3" max="3" width="13.125" style="0" bestFit="1" customWidth="1"/>
  </cols>
  <sheetData>
    <row r="4" ht="30.75">
      <c r="C4" s="751"/>
    </row>
    <row r="13" ht="30.75">
      <c r="D13" s="751"/>
    </row>
    <row r="16" ht="30.75">
      <c r="D16" s="751" t="s">
        <v>306</v>
      </c>
    </row>
  </sheetData>
  <sheetProtection/>
  <printOptions/>
  <pageMargins left="1.14" right="0.7086614173228347" top="0.7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2"/>
  <sheetViews>
    <sheetView showOutlineSymbols="0" view="pageBreakPreview" zoomScale="50" zoomScaleNormal="87" zoomScaleSheetLayoutView="50" zoomScalePageLayoutView="0" workbookViewId="0" topLeftCell="A2">
      <selection activeCell="X3" sqref="X2:X3"/>
    </sheetView>
  </sheetViews>
  <sheetFormatPr defaultColWidth="10.75390625" defaultRowHeight="54" customHeight="1"/>
  <cols>
    <col min="1" max="1" width="7.375" style="1" customWidth="1"/>
    <col min="2" max="2" width="20.625" style="1" customWidth="1"/>
    <col min="3" max="11" width="12.75390625" style="1" customWidth="1"/>
    <col min="12" max="17" width="15.75390625" style="1" customWidth="1"/>
    <col min="18" max="16384" width="10.75390625" style="1" customWidth="1"/>
  </cols>
  <sheetData>
    <row r="1" spans="13:15" ht="54" customHeight="1">
      <c r="M1" s="823"/>
      <c r="N1" s="823"/>
      <c r="O1" s="823"/>
    </row>
    <row r="2" spans="2:15" ht="54" customHeight="1">
      <c r="B2" s="2" t="s">
        <v>273</v>
      </c>
      <c r="M2" s="23"/>
      <c r="N2" s="70"/>
      <c r="O2" s="23"/>
    </row>
    <row r="3" spans="2:15" ht="54" customHeight="1">
      <c r="B3" s="2"/>
      <c r="M3" s="23"/>
      <c r="N3" s="23"/>
      <c r="O3" s="23"/>
    </row>
    <row r="4" spans="2:12" ht="54" customHeight="1" thickBot="1">
      <c r="B4" s="4" t="s">
        <v>126</v>
      </c>
      <c r="C4" s="187" t="s">
        <v>281</v>
      </c>
      <c r="F4" s="5"/>
      <c r="G4" s="5"/>
      <c r="H4" s="5"/>
      <c r="L4" s="6"/>
    </row>
    <row r="5" spans="2:17" ht="54" customHeight="1">
      <c r="B5" s="52"/>
      <c r="C5" s="830" t="s">
        <v>76</v>
      </c>
      <c r="D5" s="825"/>
      <c r="E5" s="825"/>
      <c r="F5" s="825"/>
      <c r="G5" s="831"/>
      <c r="H5" s="768" t="s">
        <v>246</v>
      </c>
      <c r="I5" s="769"/>
      <c r="J5" s="769"/>
      <c r="K5" s="769"/>
      <c r="L5" s="769"/>
      <c r="M5" s="769"/>
      <c r="N5" s="770"/>
      <c r="O5" s="174" t="s">
        <v>118</v>
      </c>
      <c r="P5" s="63" t="s">
        <v>119</v>
      </c>
      <c r="Q5" s="75" t="s">
        <v>120</v>
      </c>
    </row>
    <row r="6" spans="2:17" ht="54" customHeight="1">
      <c r="B6" s="7" t="s">
        <v>0</v>
      </c>
      <c r="C6" s="765" t="s">
        <v>28</v>
      </c>
      <c r="D6" s="761"/>
      <c r="E6" s="115"/>
      <c r="F6" s="177" t="s">
        <v>27</v>
      </c>
      <c r="G6" s="66"/>
      <c r="H6" s="176" t="s">
        <v>28</v>
      </c>
      <c r="I6" s="755" t="s">
        <v>27</v>
      </c>
      <c r="J6" s="756"/>
      <c r="K6" s="761"/>
      <c r="L6" s="755" t="s">
        <v>29</v>
      </c>
      <c r="M6" s="761"/>
      <c r="N6" s="53"/>
      <c r="O6" s="178" t="s">
        <v>49</v>
      </c>
      <c r="P6" s="64" t="s">
        <v>49</v>
      </c>
      <c r="Q6" s="76" t="s">
        <v>49</v>
      </c>
    </row>
    <row r="7" spans="2:17" ht="54" customHeight="1" thickBot="1">
      <c r="B7" s="206"/>
      <c r="C7" s="207" t="s">
        <v>187</v>
      </c>
      <c r="D7" s="208" t="s">
        <v>301</v>
      </c>
      <c r="E7" s="198" t="s">
        <v>290</v>
      </c>
      <c r="F7" s="209" t="s">
        <v>188</v>
      </c>
      <c r="G7" s="210" t="s">
        <v>26</v>
      </c>
      <c r="H7" s="211" t="s">
        <v>189</v>
      </c>
      <c r="I7" s="109" t="s">
        <v>190</v>
      </c>
      <c r="J7" s="109" t="s">
        <v>291</v>
      </c>
      <c r="K7" s="109" t="s">
        <v>113</v>
      </c>
      <c r="L7" s="109" t="s">
        <v>191</v>
      </c>
      <c r="M7" s="109" t="s">
        <v>117</v>
      </c>
      <c r="N7" s="212" t="s">
        <v>6</v>
      </c>
      <c r="O7" s="213" t="s">
        <v>134</v>
      </c>
      <c r="P7" s="214" t="s">
        <v>135</v>
      </c>
      <c r="Q7" s="215" t="s">
        <v>135</v>
      </c>
    </row>
    <row r="8" spans="1:17" ht="54" customHeight="1">
      <c r="A8" s="85"/>
      <c r="B8" s="216" t="s">
        <v>214</v>
      </c>
      <c r="C8" s="546"/>
      <c r="D8" s="547"/>
      <c r="E8" s="548"/>
      <c r="F8" s="548"/>
      <c r="G8" s="549">
        <f>SUM(C8:F8)</f>
        <v>0</v>
      </c>
      <c r="H8" s="550"/>
      <c r="I8" s="548">
        <v>2</v>
      </c>
      <c r="J8" s="548"/>
      <c r="K8" s="548"/>
      <c r="L8" s="548">
        <v>0.1</v>
      </c>
      <c r="M8" s="548"/>
      <c r="N8" s="551">
        <f>SUM(H8:M8)</f>
        <v>2.1</v>
      </c>
      <c r="O8" s="552">
        <f>SUM(G8,N8)</f>
        <v>2.1</v>
      </c>
      <c r="P8" s="553">
        <v>3.3</v>
      </c>
      <c r="Q8" s="554">
        <v>0.3</v>
      </c>
    </row>
    <row r="9" spans="1:17" ht="54" customHeight="1">
      <c r="A9" s="85"/>
      <c r="B9" s="217" t="s">
        <v>208</v>
      </c>
      <c r="C9" s="555"/>
      <c r="D9" s="556"/>
      <c r="E9" s="557"/>
      <c r="F9" s="557"/>
      <c r="G9" s="558">
        <f aca="true" t="shared" si="0" ref="G9:G18">SUM(C9:F9)</f>
        <v>0</v>
      </c>
      <c r="H9" s="559"/>
      <c r="I9" s="557">
        <v>0.8</v>
      </c>
      <c r="J9" s="557"/>
      <c r="K9" s="557"/>
      <c r="L9" s="557"/>
      <c r="M9" s="557"/>
      <c r="N9" s="560">
        <f aca="true" t="shared" si="1" ref="N9:N18">SUM(H9:M9)</f>
        <v>0.8</v>
      </c>
      <c r="O9" s="561">
        <f aca="true" t="shared" si="2" ref="O9:O18">SUM(G9,N9)</f>
        <v>0.8</v>
      </c>
      <c r="P9" s="562">
        <v>2</v>
      </c>
      <c r="Q9" s="563">
        <v>2</v>
      </c>
    </row>
    <row r="10" spans="1:17" ht="54" customHeight="1">
      <c r="A10" s="85"/>
      <c r="B10" s="218" t="s">
        <v>217</v>
      </c>
      <c r="C10" s="555">
        <v>0.1</v>
      </c>
      <c r="D10" s="556"/>
      <c r="E10" s="557"/>
      <c r="F10" s="557"/>
      <c r="G10" s="558">
        <f t="shared" si="0"/>
        <v>0.1</v>
      </c>
      <c r="H10" s="559"/>
      <c r="I10" s="557"/>
      <c r="J10" s="557"/>
      <c r="K10" s="557"/>
      <c r="L10" s="557"/>
      <c r="M10" s="557"/>
      <c r="N10" s="560">
        <f t="shared" si="1"/>
        <v>0</v>
      </c>
      <c r="O10" s="564">
        <f t="shared" si="2"/>
        <v>0.1</v>
      </c>
      <c r="P10" s="565">
        <v>1.3</v>
      </c>
      <c r="Q10" s="566">
        <v>1.2</v>
      </c>
    </row>
    <row r="11" spans="2:17" ht="54" customHeight="1" thickBot="1">
      <c r="B11" s="219" t="s">
        <v>252</v>
      </c>
      <c r="C11" s="567">
        <f>SUM(C8:C10)</f>
        <v>0.1</v>
      </c>
      <c r="D11" s="568">
        <f>SUM(D8:D10)</f>
        <v>0</v>
      </c>
      <c r="E11" s="569">
        <f aca="true" t="shared" si="3" ref="E11:Q11">SUM(E8:E10)</f>
        <v>0</v>
      </c>
      <c r="F11" s="569">
        <f t="shared" si="3"/>
        <v>0</v>
      </c>
      <c r="G11" s="570">
        <f t="shared" si="0"/>
        <v>0.1</v>
      </c>
      <c r="H11" s="567">
        <f t="shared" si="3"/>
        <v>0</v>
      </c>
      <c r="I11" s="569">
        <f t="shared" si="3"/>
        <v>2.8</v>
      </c>
      <c r="J11" s="569">
        <f t="shared" si="3"/>
        <v>0</v>
      </c>
      <c r="K11" s="569">
        <f t="shared" si="3"/>
        <v>0</v>
      </c>
      <c r="L11" s="569">
        <f t="shared" si="3"/>
        <v>0.1</v>
      </c>
      <c r="M11" s="569">
        <f t="shared" si="3"/>
        <v>0</v>
      </c>
      <c r="N11" s="570">
        <f t="shared" si="1"/>
        <v>2.9</v>
      </c>
      <c r="O11" s="571">
        <f t="shared" si="2"/>
        <v>3</v>
      </c>
      <c r="P11" s="572">
        <f t="shared" si="3"/>
        <v>6.6</v>
      </c>
      <c r="Q11" s="571">
        <f t="shared" si="3"/>
        <v>3.5</v>
      </c>
    </row>
    <row r="12" spans="1:17" ht="54" customHeight="1">
      <c r="A12" s="85"/>
      <c r="B12" s="220" t="s">
        <v>288</v>
      </c>
      <c r="C12" s="573">
        <v>0.4</v>
      </c>
      <c r="D12" s="574">
        <v>0.2</v>
      </c>
      <c r="E12" s="575">
        <v>0</v>
      </c>
      <c r="F12" s="548">
        <v>0.7</v>
      </c>
      <c r="G12" s="549">
        <f t="shared" si="0"/>
        <v>1.3</v>
      </c>
      <c r="H12" s="576">
        <v>0.6</v>
      </c>
      <c r="I12" s="548">
        <v>4</v>
      </c>
      <c r="J12" s="577">
        <v>0</v>
      </c>
      <c r="K12" s="548">
        <v>1</v>
      </c>
      <c r="L12" s="548">
        <v>1.4</v>
      </c>
      <c r="M12" s="548">
        <v>0.5</v>
      </c>
      <c r="N12" s="551">
        <f t="shared" si="1"/>
        <v>7.5</v>
      </c>
      <c r="O12" s="578">
        <f t="shared" si="2"/>
        <v>8.8</v>
      </c>
      <c r="P12" s="553">
        <v>27</v>
      </c>
      <c r="Q12" s="554">
        <v>19.2</v>
      </c>
    </row>
    <row r="13" spans="2:17" ht="54" customHeight="1" thickBot="1">
      <c r="B13" s="221" t="s">
        <v>254</v>
      </c>
      <c r="C13" s="567">
        <f>SUM(C12)</f>
        <v>0.4</v>
      </c>
      <c r="D13" s="569">
        <f aca="true" t="shared" si="4" ref="D13:Q13">SUM(D12)</f>
        <v>0.2</v>
      </c>
      <c r="E13" s="579">
        <f t="shared" si="4"/>
        <v>0</v>
      </c>
      <c r="F13" s="569">
        <f t="shared" si="4"/>
        <v>0.7</v>
      </c>
      <c r="G13" s="580">
        <f t="shared" si="0"/>
        <v>1.3</v>
      </c>
      <c r="H13" s="568">
        <f t="shared" si="4"/>
        <v>0.6</v>
      </c>
      <c r="I13" s="568">
        <f t="shared" si="4"/>
        <v>4</v>
      </c>
      <c r="J13" s="568">
        <f t="shared" si="4"/>
        <v>0</v>
      </c>
      <c r="K13" s="568">
        <f t="shared" si="4"/>
        <v>1</v>
      </c>
      <c r="L13" s="568">
        <f t="shared" si="4"/>
        <v>1.4</v>
      </c>
      <c r="M13" s="568">
        <f t="shared" si="4"/>
        <v>0.5</v>
      </c>
      <c r="N13" s="581">
        <f t="shared" si="1"/>
        <v>7.5</v>
      </c>
      <c r="O13" s="582">
        <f t="shared" si="2"/>
        <v>8.8</v>
      </c>
      <c r="P13" s="583">
        <f t="shared" si="4"/>
        <v>27</v>
      </c>
      <c r="Q13" s="584">
        <f t="shared" si="4"/>
        <v>19.2</v>
      </c>
    </row>
    <row r="14" spans="1:17" ht="54" customHeight="1">
      <c r="A14" s="85"/>
      <c r="B14" s="216" t="s">
        <v>224</v>
      </c>
      <c r="C14" s="546"/>
      <c r="D14" s="547"/>
      <c r="E14" s="548"/>
      <c r="F14" s="548"/>
      <c r="G14" s="549">
        <f t="shared" si="0"/>
        <v>0</v>
      </c>
      <c r="H14" s="550"/>
      <c r="I14" s="548"/>
      <c r="J14" s="548"/>
      <c r="K14" s="548"/>
      <c r="L14" s="548">
        <v>0.1</v>
      </c>
      <c r="M14" s="548"/>
      <c r="N14" s="551">
        <f t="shared" si="1"/>
        <v>0.1</v>
      </c>
      <c r="O14" s="552">
        <f t="shared" si="2"/>
        <v>0.1</v>
      </c>
      <c r="P14" s="553">
        <v>1</v>
      </c>
      <c r="Q14" s="554">
        <v>1</v>
      </c>
    </row>
    <row r="15" spans="2:17" ht="54" customHeight="1" thickBot="1">
      <c r="B15" s="219" t="s">
        <v>257</v>
      </c>
      <c r="C15" s="567">
        <f>SUM(C14)</f>
        <v>0</v>
      </c>
      <c r="D15" s="568">
        <f>SUM(D14)</f>
        <v>0</v>
      </c>
      <c r="E15" s="569">
        <f aca="true" t="shared" si="5" ref="E15:Q15">SUM(E14)</f>
        <v>0</v>
      </c>
      <c r="F15" s="569">
        <f t="shared" si="5"/>
        <v>0</v>
      </c>
      <c r="G15" s="580">
        <f t="shared" si="0"/>
        <v>0</v>
      </c>
      <c r="H15" s="567">
        <f t="shared" si="5"/>
        <v>0</v>
      </c>
      <c r="I15" s="569">
        <f t="shared" si="5"/>
        <v>0</v>
      </c>
      <c r="J15" s="569">
        <f t="shared" si="5"/>
        <v>0</v>
      </c>
      <c r="K15" s="569">
        <f t="shared" si="5"/>
        <v>0</v>
      </c>
      <c r="L15" s="569">
        <f t="shared" si="5"/>
        <v>0.1</v>
      </c>
      <c r="M15" s="569">
        <f t="shared" si="5"/>
        <v>0</v>
      </c>
      <c r="N15" s="585">
        <f t="shared" si="1"/>
        <v>0.1</v>
      </c>
      <c r="O15" s="584">
        <f t="shared" si="2"/>
        <v>0.1</v>
      </c>
      <c r="P15" s="583">
        <f t="shared" si="5"/>
        <v>1</v>
      </c>
      <c r="Q15" s="584">
        <f t="shared" si="5"/>
        <v>1</v>
      </c>
    </row>
    <row r="16" spans="1:17" ht="54" customHeight="1">
      <c r="A16" s="85"/>
      <c r="B16" s="216" t="s">
        <v>299</v>
      </c>
      <c r="C16" s="546"/>
      <c r="D16" s="547"/>
      <c r="E16" s="548"/>
      <c r="F16" s="548"/>
      <c r="G16" s="549">
        <f t="shared" si="0"/>
        <v>0</v>
      </c>
      <c r="H16" s="550">
        <v>0.44</v>
      </c>
      <c r="I16" s="548"/>
      <c r="J16" s="548"/>
      <c r="K16" s="548"/>
      <c r="L16" s="548"/>
      <c r="M16" s="548"/>
      <c r="N16" s="551">
        <f t="shared" si="1"/>
        <v>0.44</v>
      </c>
      <c r="O16" s="578">
        <f t="shared" si="2"/>
        <v>0.44</v>
      </c>
      <c r="P16" s="553">
        <v>3.5</v>
      </c>
      <c r="Q16" s="554">
        <v>3.2</v>
      </c>
    </row>
    <row r="17" spans="2:17" ht="54" customHeight="1" thickBot="1">
      <c r="B17" s="219" t="s">
        <v>255</v>
      </c>
      <c r="C17" s="567">
        <f>SUM(C16)</f>
        <v>0</v>
      </c>
      <c r="D17" s="568">
        <f>SUM(D16)</f>
        <v>0</v>
      </c>
      <c r="E17" s="569">
        <f aca="true" t="shared" si="6" ref="E17:Q17">SUM(E16)</f>
        <v>0</v>
      </c>
      <c r="F17" s="569">
        <f t="shared" si="6"/>
        <v>0</v>
      </c>
      <c r="G17" s="580">
        <f t="shared" si="0"/>
        <v>0</v>
      </c>
      <c r="H17" s="567">
        <f t="shared" si="6"/>
        <v>0.44</v>
      </c>
      <c r="I17" s="569">
        <f t="shared" si="6"/>
        <v>0</v>
      </c>
      <c r="J17" s="569">
        <f t="shared" si="6"/>
        <v>0</v>
      </c>
      <c r="K17" s="569">
        <f t="shared" si="6"/>
        <v>0</v>
      </c>
      <c r="L17" s="569">
        <f t="shared" si="6"/>
        <v>0</v>
      </c>
      <c r="M17" s="569">
        <f t="shared" si="6"/>
        <v>0</v>
      </c>
      <c r="N17" s="585">
        <f t="shared" si="1"/>
        <v>0.44</v>
      </c>
      <c r="O17" s="582">
        <f t="shared" si="2"/>
        <v>0.44</v>
      </c>
      <c r="P17" s="583">
        <f t="shared" si="6"/>
        <v>3.5</v>
      </c>
      <c r="Q17" s="584">
        <f t="shared" si="6"/>
        <v>3.2</v>
      </c>
    </row>
    <row r="18" spans="1:17" ht="54" customHeight="1" thickBot="1">
      <c r="A18" s="85"/>
      <c r="B18" s="222" t="s">
        <v>245</v>
      </c>
      <c r="C18" s="586">
        <f>SUM(C11,C13,C15,C17)</f>
        <v>0.5</v>
      </c>
      <c r="D18" s="587">
        <f>SUM(D11,D13,D15,D17)</f>
        <v>0.2</v>
      </c>
      <c r="E18" s="588">
        <f>SUM(E11,E13,E15,E17)</f>
        <v>0</v>
      </c>
      <c r="F18" s="588">
        <f>SUM(F11,F13,F15,F17)</f>
        <v>0.7</v>
      </c>
      <c r="G18" s="589">
        <f t="shared" si="0"/>
        <v>1.4</v>
      </c>
      <c r="H18" s="586">
        <f aca="true" t="shared" si="7" ref="H18:M18">SUM(H11,H13,H15,H17)</f>
        <v>1.04</v>
      </c>
      <c r="I18" s="588">
        <f t="shared" si="7"/>
        <v>6.8</v>
      </c>
      <c r="J18" s="588">
        <f t="shared" si="7"/>
        <v>0</v>
      </c>
      <c r="K18" s="588">
        <f t="shared" si="7"/>
        <v>1</v>
      </c>
      <c r="L18" s="588">
        <f t="shared" si="7"/>
        <v>1.6</v>
      </c>
      <c r="M18" s="588">
        <f t="shared" si="7"/>
        <v>0.5</v>
      </c>
      <c r="N18" s="589">
        <f t="shared" si="1"/>
        <v>10.94</v>
      </c>
      <c r="O18" s="590">
        <f t="shared" si="2"/>
        <v>12.34</v>
      </c>
      <c r="P18" s="591">
        <f>SUM(P11,P13,P15,P17)</f>
        <v>38.1</v>
      </c>
      <c r="Q18" s="590">
        <f>SUM(Q11,Q13,Q15,Q17)</f>
        <v>26.9</v>
      </c>
    </row>
    <row r="19" ht="54" customHeight="1">
      <c r="A19" s="85"/>
    </row>
    <row r="20" ht="54" customHeight="1">
      <c r="A20" s="85"/>
    </row>
    <row r="21" ht="54" customHeight="1">
      <c r="A21" s="85"/>
    </row>
    <row r="22" ht="54" customHeight="1">
      <c r="A22" s="85"/>
    </row>
  </sheetData>
  <sheetProtection/>
  <mergeCells count="6">
    <mergeCell ref="H5:N5"/>
    <mergeCell ref="C5:G5"/>
    <mergeCell ref="M1:O1"/>
    <mergeCell ref="C6:D6"/>
    <mergeCell ref="I6:K6"/>
    <mergeCell ref="L6:M6"/>
  </mergeCells>
  <printOptions horizontalCentered="1"/>
  <pageMargins left="0.1968503937007874" right="0.1968503937007874" top="1.5748031496062993" bottom="0.7874015748031497" header="0" footer="0"/>
  <pageSetup fitToHeight="1" fitToWidth="1" horizontalDpi="600" verticalDpi="600" orientation="portrait" paperSize="9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3"/>
  <sheetViews>
    <sheetView tabSelected="1" showOutlineSymbols="0" view="pageBreakPreview" zoomScale="50" zoomScaleNormal="40" zoomScaleSheetLayoutView="50" zoomScalePageLayoutView="0" workbookViewId="0" topLeftCell="A1">
      <selection activeCell="S13" sqref="S13"/>
    </sheetView>
  </sheetViews>
  <sheetFormatPr defaultColWidth="10.75390625" defaultRowHeight="54" customHeight="1"/>
  <cols>
    <col min="1" max="1" width="7.375" style="1" customWidth="1"/>
    <col min="2" max="2" width="20.625" style="1" customWidth="1"/>
    <col min="3" max="18" width="12.625" style="46" customWidth="1"/>
    <col min="19" max="21" width="15.625" style="1" customWidth="1"/>
    <col min="22" max="22" width="1.625" style="1" customWidth="1"/>
    <col min="23" max="23" width="8.75390625" style="1" customWidth="1"/>
    <col min="24" max="16384" width="10.75390625" style="1" customWidth="1"/>
  </cols>
  <sheetData>
    <row r="1" spans="20:22" ht="54" customHeight="1">
      <c r="T1" s="760"/>
      <c r="U1" s="760"/>
      <c r="V1" s="760"/>
    </row>
    <row r="2" spans="2:21" ht="54" customHeight="1">
      <c r="B2" s="2" t="s">
        <v>273</v>
      </c>
      <c r="U2" s="70"/>
    </row>
    <row r="3" ht="54" customHeight="1">
      <c r="B3" s="2"/>
    </row>
    <row r="4" spans="2:19" ht="54" customHeight="1" thickBot="1">
      <c r="B4" s="4" t="s">
        <v>283</v>
      </c>
      <c r="H4" s="56"/>
      <c r="I4" s="57"/>
      <c r="J4" s="57"/>
      <c r="K4" s="57"/>
      <c r="S4" s="6"/>
    </row>
    <row r="5" spans="2:22" ht="54" customHeight="1">
      <c r="B5" s="87"/>
      <c r="C5" s="796" t="s">
        <v>24</v>
      </c>
      <c r="D5" s="797"/>
      <c r="E5" s="797"/>
      <c r="F5" s="797"/>
      <c r="G5" s="770"/>
      <c r="H5" s="797" t="s">
        <v>246</v>
      </c>
      <c r="I5" s="797"/>
      <c r="J5" s="797"/>
      <c r="K5" s="797"/>
      <c r="L5" s="797"/>
      <c r="M5" s="797"/>
      <c r="N5" s="797"/>
      <c r="O5" s="797"/>
      <c r="P5" s="797"/>
      <c r="Q5" s="797"/>
      <c r="R5" s="770"/>
      <c r="S5" s="30" t="s">
        <v>118</v>
      </c>
      <c r="T5" s="63" t="s">
        <v>119</v>
      </c>
      <c r="U5" s="63" t="s">
        <v>120</v>
      </c>
      <c r="V5" s="3"/>
    </row>
    <row r="6" spans="2:22" ht="54" customHeight="1">
      <c r="B6" s="7" t="s">
        <v>0</v>
      </c>
      <c r="C6" s="765" t="s">
        <v>108</v>
      </c>
      <c r="D6" s="756"/>
      <c r="E6" s="756"/>
      <c r="F6" s="132" t="s">
        <v>107</v>
      </c>
      <c r="G6" s="8"/>
      <c r="H6" s="756" t="s">
        <v>106</v>
      </c>
      <c r="I6" s="756"/>
      <c r="J6" s="756"/>
      <c r="K6" s="756"/>
      <c r="L6" s="761"/>
      <c r="M6" s="756" t="s">
        <v>265</v>
      </c>
      <c r="N6" s="756"/>
      <c r="O6" s="756"/>
      <c r="P6" s="756"/>
      <c r="Q6" s="71" t="s">
        <v>20</v>
      </c>
      <c r="R6" s="8"/>
      <c r="S6" s="9" t="s">
        <v>49</v>
      </c>
      <c r="T6" s="64" t="s">
        <v>49</v>
      </c>
      <c r="U6" s="64" t="s">
        <v>49</v>
      </c>
      <c r="V6" s="3"/>
    </row>
    <row r="7" spans="2:22" ht="54" customHeight="1" thickBot="1">
      <c r="B7" s="139"/>
      <c r="C7" s="123" t="s">
        <v>130</v>
      </c>
      <c r="D7" s="124" t="s">
        <v>45</v>
      </c>
      <c r="E7" s="124" t="s">
        <v>66</v>
      </c>
      <c r="F7" s="125" t="s">
        <v>103</v>
      </c>
      <c r="G7" s="138" t="s">
        <v>6</v>
      </c>
      <c r="H7" s="201" t="s">
        <v>59</v>
      </c>
      <c r="I7" s="131" t="s">
        <v>60</v>
      </c>
      <c r="J7" s="165" t="s">
        <v>104</v>
      </c>
      <c r="K7" s="140" t="s">
        <v>105</v>
      </c>
      <c r="L7" s="118" t="s">
        <v>61</v>
      </c>
      <c r="M7" s="118" t="s">
        <v>46</v>
      </c>
      <c r="N7" s="126" t="s">
        <v>62</v>
      </c>
      <c r="O7" s="124" t="s">
        <v>63</v>
      </c>
      <c r="P7" s="119" t="s">
        <v>64</v>
      </c>
      <c r="Q7" s="127" t="s">
        <v>127</v>
      </c>
      <c r="R7" s="138" t="s">
        <v>6</v>
      </c>
      <c r="S7" s="137" t="s">
        <v>151</v>
      </c>
      <c r="T7" s="64" t="s">
        <v>152</v>
      </c>
      <c r="U7" s="64" t="s">
        <v>152</v>
      </c>
      <c r="V7" s="3"/>
    </row>
    <row r="8" spans="2:22" ht="54" customHeight="1">
      <c r="B8" s="225" t="s">
        <v>214</v>
      </c>
      <c r="C8" s="845">
        <v>0</v>
      </c>
      <c r="D8" s="236"/>
      <c r="E8" s="236"/>
      <c r="F8" s="237"/>
      <c r="G8" s="238">
        <f>SUM(C8:F8)</f>
        <v>0</v>
      </c>
      <c r="H8" s="239">
        <v>0.6</v>
      </c>
      <c r="I8" s="240"/>
      <c r="J8" s="241">
        <v>2.2</v>
      </c>
      <c r="K8" s="237">
        <v>0.8</v>
      </c>
      <c r="L8" s="236">
        <v>3.5</v>
      </c>
      <c r="M8" s="236"/>
      <c r="N8" s="240"/>
      <c r="O8" s="236"/>
      <c r="P8" s="240"/>
      <c r="Q8" s="242"/>
      <c r="R8" s="238">
        <f>SUM(H8:Q8)</f>
        <v>7.1000000000000005</v>
      </c>
      <c r="S8" s="243">
        <f>SUM(G8,R8)</f>
        <v>7.1000000000000005</v>
      </c>
      <c r="T8" s="244">
        <v>20</v>
      </c>
      <c r="U8" s="244">
        <v>16</v>
      </c>
      <c r="V8" s="3"/>
    </row>
    <row r="9" spans="1:21" ht="54" customHeight="1">
      <c r="A9" s="85"/>
      <c r="B9" s="226" t="s">
        <v>210</v>
      </c>
      <c r="C9" s="227">
        <v>0</v>
      </c>
      <c r="D9" s="245"/>
      <c r="E9" s="245"/>
      <c r="F9" s="245">
        <v>2.7</v>
      </c>
      <c r="G9" s="246">
        <f aca="true" t="shared" si="0" ref="G9:G32">SUM(C9:F9)</f>
        <v>2.7</v>
      </c>
      <c r="H9" s="247"/>
      <c r="I9" s="248"/>
      <c r="J9" s="248"/>
      <c r="K9" s="245"/>
      <c r="L9" s="248"/>
      <c r="M9" s="248"/>
      <c r="N9" s="248"/>
      <c r="O9" s="248">
        <v>0.5</v>
      </c>
      <c r="P9" s="248"/>
      <c r="Q9" s="248"/>
      <c r="R9" s="246">
        <f aca="true" t="shared" si="1" ref="R9:R32">SUM(H9:Q9)</f>
        <v>0.5</v>
      </c>
      <c r="S9" s="249">
        <f aca="true" t="shared" si="2" ref="S9:S32">SUM(G9,R9)</f>
        <v>3.2</v>
      </c>
      <c r="T9" s="250">
        <v>47.7</v>
      </c>
      <c r="U9" s="250">
        <v>44.4</v>
      </c>
    </row>
    <row r="10" spans="1:21" ht="54" customHeight="1">
      <c r="A10" s="85"/>
      <c r="B10" s="199" t="s">
        <v>211</v>
      </c>
      <c r="C10" s="227">
        <v>0</v>
      </c>
      <c r="D10" s="245"/>
      <c r="E10" s="245"/>
      <c r="F10" s="245"/>
      <c r="G10" s="246">
        <f t="shared" si="0"/>
        <v>0</v>
      </c>
      <c r="H10" s="247"/>
      <c r="I10" s="248"/>
      <c r="J10" s="248"/>
      <c r="K10" s="245"/>
      <c r="L10" s="248"/>
      <c r="M10" s="248"/>
      <c r="N10" s="248"/>
      <c r="O10" s="248"/>
      <c r="P10" s="248"/>
      <c r="Q10" s="248">
        <v>0.2</v>
      </c>
      <c r="R10" s="246">
        <f t="shared" si="1"/>
        <v>0.2</v>
      </c>
      <c r="S10" s="249">
        <f t="shared" si="2"/>
        <v>0.2</v>
      </c>
      <c r="T10" s="250">
        <v>2.3</v>
      </c>
      <c r="U10" s="250">
        <v>2.3</v>
      </c>
    </row>
    <row r="11" spans="2:21" ht="54" customHeight="1" thickBot="1">
      <c r="B11" s="228" t="s">
        <v>252</v>
      </c>
      <c r="C11" s="229">
        <v>0</v>
      </c>
      <c r="D11" s="251">
        <f aca="true" t="shared" si="3" ref="D11:U11">SUM(D8:D10)</f>
        <v>0</v>
      </c>
      <c r="E11" s="251">
        <f t="shared" si="3"/>
        <v>0</v>
      </c>
      <c r="F11" s="251">
        <f t="shared" si="3"/>
        <v>2.7</v>
      </c>
      <c r="G11" s="252">
        <f t="shared" si="0"/>
        <v>2.7</v>
      </c>
      <c r="H11" s="253">
        <f t="shared" si="3"/>
        <v>0.6</v>
      </c>
      <c r="I11" s="251">
        <f t="shared" si="3"/>
        <v>0</v>
      </c>
      <c r="J11" s="251">
        <f t="shared" si="3"/>
        <v>2.2</v>
      </c>
      <c r="K11" s="251">
        <f t="shared" si="3"/>
        <v>0.8</v>
      </c>
      <c r="L11" s="251">
        <f t="shared" si="3"/>
        <v>3.5</v>
      </c>
      <c r="M11" s="251">
        <f t="shared" si="3"/>
        <v>0</v>
      </c>
      <c r="N11" s="251">
        <f t="shared" si="3"/>
        <v>0</v>
      </c>
      <c r="O11" s="251">
        <f t="shared" si="3"/>
        <v>0.5</v>
      </c>
      <c r="P11" s="251">
        <f t="shared" si="3"/>
        <v>0</v>
      </c>
      <c r="Q11" s="251">
        <f t="shared" si="3"/>
        <v>0.2</v>
      </c>
      <c r="R11" s="253">
        <f t="shared" si="1"/>
        <v>7.800000000000001</v>
      </c>
      <c r="S11" s="231">
        <f t="shared" si="2"/>
        <v>10.5</v>
      </c>
      <c r="T11" s="231">
        <f t="shared" si="3"/>
        <v>70</v>
      </c>
      <c r="U11" s="750">
        <f t="shared" si="3"/>
        <v>62.699999999999996</v>
      </c>
    </row>
    <row r="12" spans="1:21" ht="54" customHeight="1">
      <c r="A12" s="85"/>
      <c r="B12" s="200" t="s">
        <v>221</v>
      </c>
      <c r="C12" s="230">
        <v>5.5</v>
      </c>
      <c r="D12" s="254">
        <v>8.3</v>
      </c>
      <c r="E12" s="254">
        <v>5.4</v>
      </c>
      <c r="F12" s="254" t="s">
        <v>292</v>
      </c>
      <c r="G12" s="238">
        <f t="shared" si="0"/>
        <v>19.200000000000003</v>
      </c>
      <c r="H12" s="255" t="s">
        <v>292</v>
      </c>
      <c r="I12" s="256" t="s">
        <v>292</v>
      </c>
      <c r="J12" s="256">
        <v>14.6</v>
      </c>
      <c r="K12" s="254">
        <v>6.6</v>
      </c>
      <c r="L12" s="256">
        <v>55.57</v>
      </c>
      <c r="M12" s="256" t="s">
        <v>292</v>
      </c>
      <c r="N12" s="256" t="s">
        <v>292</v>
      </c>
      <c r="O12" s="256" t="s">
        <v>292</v>
      </c>
      <c r="P12" s="256" t="s">
        <v>292</v>
      </c>
      <c r="Q12" s="256" t="s">
        <v>292</v>
      </c>
      <c r="R12" s="238">
        <f t="shared" si="1"/>
        <v>76.77</v>
      </c>
      <c r="S12" s="243">
        <f t="shared" si="2"/>
        <v>95.97</v>
      </c>
      <c r="T12" s="257">
        <v>1126.131</v>
      </c>
      <c r="U12" s="257">
        <v>1076.3</v>
      </c>
    </row>
    <row r="13" spans="1:21" ht="54" customHeight="1">
      <c r="A13" s="85"/>
      <c r="B13" s="199" t="s">
        <v>219</v>
      </c>
      <c r="C13" s="734">
        <v>17.4</v>
      </c>
      <c r="D13" s="846">
        <v>32.1</v>
      </c>
      <c r="E13" s="838">
        <v>13.7</v>
      </c>
      <c r="F13" s="839"/>
      <c r="G13" s="720">
        <f>SUM(C13:F13)</f>
        <v>63.2</v>
      </c>
      <c r="H13" s="840"/>
      <c r="I13" s="841"/>
      <c r="J13" s="842">
        <v>75.7</v>
      </c>
      <c r="K13" s="839">
        <v>19.7</v>
      </c>
      <c r="L13" s="838">
        <v>172.2</v>
      </c>
      <c r="M13" s="838"/>
      <c r="N13" s="841"/>
      <c r="O13" s="838"/>
      <c r="P13" s="841"/>
      <c r="Q13" s="843"/>
      <c r="R13" s="678">
        <v>267.6</v>
      </c>
      <c r="S13" s="736">
        <f>G13+R13</f>
        <v>330.8</v>
      </c>
      <c r="T13" s="844">
        <v>4350</v>
      </c>
      <c r="U13" s="844">
        <v>4230.4</v>
      </c>
    </row>
    <row r="14" spans="1:21" ht="54" customHeight="1">
      <c r="A14" s="85"/>
      <c r="B14" s="199" t="s">
        <v>220</v>
      </c>
      <c r="C14" s="676">
        <v>15</v>
      </c>
      <c r="D14" s="665">
        <v>13.8</v>
      </c>
      <c r="E14" s="666">
        <v>8</v>
      </c>
      <c r="F14" s="718"/>
      <c r="G14" s="720">
        <f>SUM(C14:F14)</f>
        <v>36.8</v>
      </c>
      <c r="H14" s="665">
        <f>(21-22.8)/1+21</f>
        <v>19.2</v>
      </c>
      <c r="I14" s="735"/>
      <c r="J14" s="665">
        <f>(60-60.4)/1+60</f>
        <v>59.6</v>
      </c>
      <c r="K14" s="666">
        <v>18.8</v>
      </c>
      <c r="L14" s="665">
        <f>(161-161.2)/1+161</f>
        <v>160.8</v>
      </c>
      <c r="M14" s="735"/>
      <c r="N14" s="735"/>
      <c r="O14" s="735"/>
      <c r="P14" s="735"/>
      <c r="Q14" s="735"/>
      <c r="R14" s="720">
        <f>SUM(H14:Q14)</f>
        <v>258.4</v>
      </c>
      <c r="S14" s="736">
        <f>G14+R14</f>
        <v>295.2</v>
      </c>
      <c r="T14" s="667">
        <f>3014.8/297.8*S14</f>
        <v>2988.478710543989</v>
      </c>
      <c r="U14" s="723">
        <f>2759.2/297.8*S14</f>
        <v>2735.110275352585</v>
      </c>
    </row>
    <row r="15" spans="2:21" ht="54" customHeight="1" thickBot="1">
      <c r="B15" s="228" t="s">
        <v>253</v>
      </c>
      <c r="C15" s="231">
        <f aca="true" t="shared" si="4" ref="C15:U15">SUM(C12:C14)</f>
        <v>37.9</v>
      </c>
      <c r="D15" s="251">
        <f t="shared" si="4"/>
        <v>54.2</v>
      </c>
      <c r="E15" s="251">
        <f t="shared" si="4"/>
        <v>27.1</v>
      </c>
      <c r="F15" s="251">
        <f t="shared" si="4"/>
        <v>0</v>
      </c>
      <c r="G15" s="259">
        <f t="shared" si="0"/>
        <v>119.19999999999999</v>
      </c>
      <c r="H15" s="260">
        <f t="shared" si="4"/>
        <v>19.2</v>
      </c>
      <c r="I15" s="261">
        <f t="shared" si="4"/>
        <v>0</v>
      </c>
      <c r="J15" s="261">
        <f t="shared" si="4"/>
        <v>149.9</v>
      </c>
      <c r="K15" s="261">
        <f t="shared" si="4"/>
        <v>45.099999999999994</v>
      </c>
      <c r="L15" s="261">
        <f t="shared" si="4"/>
        <v>388.57</v>
      </c>
      <c r="M15" s="261">
        <f t="shared" si="4"/>
        <v>0</v>
      </c>
      <c r="N15" s="261">
        <f t="shared" si="4"/>
        <v>0</v>
      </c>
      <c r="O15" s="261">
        <f t="shared" si="4"/>
        <v>0</v>
      </c>
      <c r="P15" s="261">
        <f t="shared" si="4"/>
        <v>0</v>
      </c>
      <c r="Q15" s="261">
        <f t="shared" si="4"/>
        <v>0</v>
      </c>
      <c r="R15" s="259">
        <f t="shared" si="1"/>
        <v>602.77</v>
      </c>
      <c r="S15" s="262">
        <f t="shared" si="2"/>
        <v>721.97</v>
      </c>
      <c r="T15" s="262">
        <f t="shared" si="4"/>
        <v>8464.60971054399</v>
      </c>
      <c r="U15" s="262">
        <f t="shared" si="4"/>
        <v>8041.810275352585</v>
      </c>
    </row>
    <row r="16" spans="1:21" ht="54" customHeight="1">
      <c r="A16" s="85"/>
      <c r="B16" s="200" t="s">
        <v>244</v>
      </c>
      <c r="C16" s="230">
        <v>0</v>
      </c>
      <c r="D16" s="254"/>
      <c r="E16" s="254"/>
      <c r="F16" s="254"/>
      <c r="G16" s="238">
        <f t="shared" si="0"/>
        <v>0</v>
      </c>
      <c r="H16" s="255"/>
      <c r="I16" s="256">
        <v>0.1</v>
      </c>
      <c r="J16" s="256"/>
      <c r="K16" s="254"/>
      <c r="L16" s="256"/>
      <c r="M16" s="256"/>
      <c r="N16" s="256"/>
      <c r="O16" s="256"/>
      <c r="P16" s="256"/>
      <c r="Q16" s="256">
        <v>0.2</v>
      </c>
      <c r="R16" s="238">
        <f t="shared" si="1"/>
        <v>0.30000000000000004</v>
      </c>
      <c r="S16" s="243">
        <f t="shared" si="2"/>
        <v>0.30000000000000004</v>
      </c>
      <c r="T16" s="257">
        <v>3.8</v>
      </c>
      <c r="U16" s="257">
        <v>3.4</v>
      </c>
    </row>
    <row r="17" spans="2:21" ht="54" customHeight="1" thickBot="1">
      <c r="B17" s="228" t="s">
        <v>254</v>
      </c>
      <c r="C17" s="231">
        <v>0</v>
      </c>
      <c r="D17" s="251">
        <f aca="true" t="shared" si="5" ref="D17:U17">SUM(D16)</f>
        <v>0</v>
      </c>
      <c r="E17" s="251">
        <f t="shared" si="5"/>
        <v>0</v>
      </c>
      <c r="F17" s="251">
        <f t="shared" si="5"/>
        <v>0</v>
      </c>
      <c r="G17" s="259">
        <f t="shared" si="0"/>
        <v>0</v>
      </c>
      <c r="H17" s="260">
        <f t="shared" si="5"/>
        <v>0</v>
      </c>
      <c r="I17" s="261">
        <f t="shared" si="5"/>
        <v>0.1</v>
      </c>
      <c r="J17" s="261">
        <f t="shared" si="5"/>
        <v>0</v>
      </c>
      <c r="K17" s="261">
        <f t="shared" si="5"/>
        <v>0</v>
      </c>
      <c r="L17" s="261">
        <f t="shared" si="5"/>
        <v>0</v>
      </c>
      <c r="M17" s="261">
        <f t="shared" si="5"/>
        <v>0</v>
      </c>
      <c r="N17" s="261">
        <f t="shared" si="5"/>
        <v>0</v>
      </c>
      <c r="O17" s="261">
        <f t="shared" si="5"/>
        <v>0</v>
      </c>
      <c r="P17" s="261">
        <f t="shared" si="5"/>
        <v>0</v>
      </c>
      <c r="Q17" s="261">
        <f t="shared" si="5"/>
        <v>0.2</v>
      </c>
      <c r="R17" s="259">
        <f t="shared" si="1"/>
        <v>0.30000000000000004</v>
      </c>
      <c r="S17" s="262">
        <f t="shared" si="2"/>
        <v>0.30000000000000004</v>
      </c>
      <c r="T17" s="262">
        <f t="shared" si="5"/>
        <v>3.8</v>
      </c>
      <c r="U17" s="262">
        <f t="shared" si="5"/>
        <v>3.4</v>
      </c>
    </row>
    <row r="18" spans="1:21" s="28" customFormat="1" ht="54" customHeight="1">
      <c r="A18" s="85"/>
      <c r="B18" s="232" t="s">
        <v>229</v>
      </c>
      <c r="C18" s="233">
        <v>0.30000000000000004</v>
      </c>
      <c r="D18" s="263">
        <v>1.5</v>
      </c>
      <c r="E18" s="263"/>
      <c r="F18" s="263"/>
      <c r="G18" s="264">
        <f t="shared" si="0"/>
        <v>1.8</v>
      </c>
      <c r="H18" s="265"/>
      <c r="I18" s="266"/>
      <c r="J18" s="266">
        <v>3.8</v>
      </c>
      <c r="K18" s="263">
        <v>0.6000000000000001</v>
      </c>
      <c r="L18" s="266">
        <v>18.8</v>
      </c>
      <c r="M18" s="266"/>
      <c r="N18" s="266"/>
      <c r="O18" s="266"/>
      <c r="P18" s="266"/>
      <c r="Q18" s="266"/>
      <c r="R18" s="264">
        <f t="shared" si="1"/>
        <v>23.200000000000003</v>
      </c>
      <c r="S18" s="267">
        <f t="shared" si="2"/>
        <v>25.000000000000004</v>
      </c>
      <c r="T18" s="268">
        <v>287</v>
      </c>
      <c r="U18" s="268">
        <v>287</v>
      </c>
    </row>
    <row r="19" spans="1:21" ht="54" customHeight="1">
      <c r="A19" s="85"/>
      <c r="B19" s="199" t="s">
        <v>224</v>
      </c>
      <c r="C19" s="227">
        <v>0.1</v>
      </c>
      <c r="D19" s="245">
        <v>0.1</v>
      </c>
      <c r="E19" s="245"/>
      <c r="F19" s="245"/>
      <c r="G19" s="246">
        <f t="shared" si="0"/>
        <v>0.2</v>
      </c>
      <c r="H19" s="247"/>
      <c r="I19" s="248"/>
      <c r="J19" s="248">
        <v>0.5</v>
      </c>
      <c r="K19" s="245">
        <v>0.2</v>
      </c>
      <c r="L19" s="248">
        <v>0.5</v>
      </c>
      <c r="M19" s="248"/>
      <c r="N19" s="248"/>
      <c r="O19" s="248"/>
      <c r="P19" s="248"/>
      <c r="Q19" s="248"/>
      <c r="R19" s="246">
        <f t="shared" si="1"/>
        <v>1.2</v>
      </c>
      <c r="S19" s="249">
        <f t="shared" si="2"/>
        <v>1.4</v>
      </c>
      <c r="T19" s="250">
        <v>8</v>
      </c>
      <c r="U19" s="250">
        <v>8</v>
      </c>
    </row>
    <row r="20" spans="1:21" ht="54" customHeight="1">
      <c r="A20" s="74"/>
      <c r="B20" s="199" t="s">
        <v>236</v>
      </c>
      <c r="C20" s="227">
        <v>0</v>
      </c>
      <c r="D20" s="245"/>
      <c r="E20" s="245"/>
      <c r="F20" s="245"/>
      <c r="G20" s="246">
        <f t="shared" si="0"/>
        <v>0</v>
      </c>
      <c r="H20" s="247"/>
      <c r="I20" s="248"/>
      <c r="J20" s="248"/>
      <c r="K20" s="245"/>
      <c r="L20" s="248"/>
      <c r="M20" s="248"/>
      <c r="N20" s="248"/>
      <c r="O20" s="248"/>
      <c r="P20" s="248">
        <v>1.5</v>
      </c>
      <c r="Q20" s="248"/>
      <c r="R20" s="246">
        <f t="shared" si="1"/>
        <v>1.5</v>
      </c>
      <c r="S20" s="249">
        <f t="shared" si="2"/>
        <v>1.5</v>
      </c>
      <c r="T20" s="250">
        <v>2</v>
      </c>
      <c r="U20" s="250">
        <v>2</v>
      </c>
    </row>
    <row r="21" spans="1:21" ht="54" customHeight="1">
      <c r="A21" s="74"/>
      <c r="B21" s="199" t="s">
        <v>227</v>
      </c>
      <c r="C21" s="227">
        <v>0</v>
      </c>
      <c r="D21" s="245"/>
      <c r="E21" s="245"/>
      <c r="F21" s="245"/>
      <c r="G21" s="246">
        <f t="shared" si="0"/>
        <v>0</v>
      </c>
      <c r="H21" s="247"/>
      <c r="I21" s="248"/>
      <c r="J21" s="248"/>
      <c r="K21" s="245"/>
      <c r="L21" s="248">
        <v>1</v>
      </c>
      <c r="M21" s="248"/>
      <c r="N21" s="248"/>
      <c r="O21" s="248">
        <v>2</v>
      </c>
      <c r="P21" s="248">
        <v>3</v>
      </c>
      <c r="Q21" s="248"/>
      <c r="R21" s="246">
        <f t="shared" si="1"/>
        <v>6</v>
      </c>
      <c r="S21" s="249">
        <f t="shared" si="2"/>
        <v>6</v>
      </c>
      <c r="T21" s="250">
        <v>30</v>
      </c>
      <c r="U21" s="250">
        <v>27</v>
      </c>
    </row>
    <row r="22" spans="1:21" ht="54" customHeight="1">
      <c r="A22" s="74"/>
      <c r="B22" s="199" t="s">
        <v>233</v>
      </c>
      <c r="C22" s="227">
        <v>0</v>
      </c>
      <c r="D22" s="245"/>
      <c r="E22" s="245"/>
      <c r="F22" s="245"/>
      <c r="G22" s="246">
        <f t="shared" si="0"/>
        <v>0</v>
      </c>
      <c r="H22" s="247"/>
      <c r="I22" s="248"/>
      <c r="J22" s="248"/>
      <c r="K22" s="245"/>
      <c r="L22" s="248">
        <v>2</v>
      </c>
      <c r="M22" s="248"/>
      <c r="N22" s="248"/>
      <c r="O22" s="248"/>
      <c r="P22" s="248"/>
      <c r="Q22" s="248"/>
      <c r="R22" s="246">
        <f t="shared" si="1"/>
        <v>2</v>
      </c>
      <c r="S22" s="249">
        <f t="shared" si="2"/>
        <v>2</v>
      </c>
      <c r="T22" s="250">
        <v>23.1</v>
      </c>
      <c r="U22" s="250">
        <v>22.9</v>
      </c>
    </row>
    <row r="23" spans="2:21" ht="54" customHeight="1" thickBot="1">
      <c r="B23" s="228" t="s">
        <v>257</v>
      </c>
      <c r="C23" s="231">
        <v>0.4</v>
      </c>
      <c r="D23" s="251">
        <f>SUM(D18:D22)</f>
        <v>1.6</v>
      </c>
      <c r="E23" s="251">
        <f>SUM(E18:E22)</f>
        <v>0</v>
      </c>
      <c r="F23" s="251">
        <f>SUM(F18:F22)</f>
        <v>0</v>
      </c>
      <c r="G23" s="259">
        <f t="shared" si="0"/>
        <v>2</v>
      </c>
      <c r="H23" s="260">
        <f aca="true" t="shared" si="6" ref="H23:Q23">SUM(H18:H22)</f>
        <v>0</v>
      </c>
      <c r="I23" s="261">
        <f t="shared" si="6"/>
        <v>0</v>
      </c>
      <c r="J23" s="261">
        <f t="shared" si="6"/>
        <v>4.3</v>
      </c>
      <c r="K23" s="261">
        <f t="shared" si="6"/>
        <v>0.8</v>
      </c>
      <c r="L23" s="261">
        <f t="shared" si="6"/>
        <v>22.3</v>
      </c>
      <c r="M23" s="261">
        <f t="shared" si="6"/>
        <v>0</v>
      </c>
      <c r="N23" s="261">
        <f t="shared" si="6"/>
        <v>0</v>
      </c>
      <c r="O23" s="261">
        <f t="shared" si="6"/>
        <v>2</v>
      </c>
      <c r="P23" s="261">
        <f t="shared" si="6"/>
        <v>4.5</v>
      </c>
      <c r="Q23" s="261">
        <f t="shared" si="6"/>
        <v>0</v>
      </c>
      <c r="R23" s="259">
        <f t="shared" si="1"/>
        <v>33.9</v>
      </c>
      <c r="S23" s="262">
        <f t="shared" si="2"/>
        <v>35.9</v>
      </c>
      <c r="T23" s="262">
        <f>SUM(T18:T22)</f>
        <v>350.1</v>
      </c>
      <c r="U23" s="262">
        <f>SUM(U18:U22)</f>
        <v>346.9</v>
      </c>
    </row>
    <row r="24" spans="1:21" ht="54" customHeight="1">
      <c r="A24" s="85"/>
      <c r="B24" s="200" t="s">
        <v>207</v>
      </c>
      <c r="C24" s="230">
        <v>0.18113207547169807</v>
      </c>
      <c r="D24" s="254">
        <v>0.31</v>
      </c>
      <c r="E24" s="254">
        <v>0.03</v>
      </c>
      <c r="F24" s="254"/>
      <c r="G24" s="238">
        <f t="shared" si="0"/>
        <v>0.521132075471698</v>
      </c>
      <c r="H24" s="255">
        <v>0.01</v>
      </c>
      <c r="I24" s="256"/>
      <c r="J24" s="256">
        <v>0.98</v>
      </c>
      <c r="K24" s="254">
        <v>0.31</v>
      </c>
      <c r="L24" s="256">
        <v>5.5</v>
      </c>
      <c r="M24" s="256"/>
      <c r="N24" s="256"/>
      <c r="O24" s="256"/>
      <c r="P24" s="256"/>
      <c r="Q24" s="256"/>
      <c r="R24" s="238">
        <f t="shared" si="1"/>
        <v>6.8</v>
      </c>
      <c r="S24" s="243">
        <f t="shared" si="2"/>
        <v>7.321132075471698</v>
      </c>
      <c r="T24" s="257">
        <v>61.6</v>
      </c>
      <c r="U24" s="257">
        <v>61.6</v>
      </c>
    </row>
    <row r="25" spans="1:21" ht="54" customHeight="1">
      <c r="A25" s="85"/>
      <c r="B25" s="199" t="s">
        <v>299</v>
      </c>
      <c r="C25" s="227">
        <v>0.1</v>
      </c>
      <c r="D25" s="245">
        <v>0.1</v>
      </c>
      <c r="E25" s="245"/>
      <c r="F25" s="245"/>
      <c r="G25" s="246">
        <f t="shared" si="0"/>
        <v>0.2</v>
      </c>
      <c r="H25" s="247"/>
      <c r="I25" s="248"/>
      <c r="J25" s="248"/>
      <c r="K25" s="245"/>
      <c r="L25" s="248">
        <v>1.3</v>
      </c>
      <c r="M25" s="248"/>
      <c r="N25" s="248"/>
      <c r="O25" s="248"/>
      <c r="P25" s="248"/>
      <c r="Q25" s="248"/>
      <c r="R25" s="246">
        <f t="shared" si="1"/>
        <v>1.3</v>
      </c>
      <c r="S25" s="249">
        <f t="shared" si="2"/>
        <v>1.5</v>
      </c>
      <c r="T25" s="250">
        <v>0</v>
      </c>
      <c r="U25" s="250">
        <v>0</v>
      </c>
    </row>
    <row r="26" spans="2:21" ht="54" customHeight="1" thickBot="1">
      <c r="B26" s="228" t="s">
        <v>255</v>
      </c>
      <c r="C26" s="231">
        <v>0.2811320754716981</v>
      </c>
      <c r="D26" s="251">
        <f aca="true" t="shared" si="7" ref="D26:U26">SUM(D24:D25)</f>
        <v>0.41000000000000003</v>
      </c>
      <c r="E26" s="251">
        <f t="shared" si="7"/>
        <v>0.03</v>
      </c>
      <c r="F26" s="251">
        <f t="shared" si="7"/>
        <v>0</v>
      </c>
      <c r="G26" s="259">
        <f t="shared" si="0"/>
        <v>0.7211320754716981</v>
      </c>
      <c r="H26" s="260">
        <f t="shared" si="7"/>
        <v>0.01</v>
      </c>
      <c r="I26" s="261">
        <f t="shared" si="7"/>
        <v>0</v>
      </c>
      <c r="J26" s="261">
        <f t="shared" si="7"/>
        <v>0.98</v>
      </c>
      <c r="K26" s="261">
        <f t="shared" si="7"/>
        <v>0.31</v>
      </c>
      <c r="L26" s="261">
        <f t="shared" si="7"/>
        <v>6.8</v>
      </c>
      <c r="M26" s="261">
        <f t="shared" si="7"/>
        <v>0</v>
      </c>
      <c r="N26" s="261">
        <f t="shared" si="7"/>
        <v>0</v>
      </c>
      <c r="O26" s="261">
        <f t="shared" si="7"/>
        <v>0</v>
      </c>
      <c r="P26" s="261">
        <f t="shared" si="7"/>
        <v>0</v>
      </c>
      <c r="Q26" s="261">
        <f t="shared" si="7"/>
        <v>0</v>
      </c>
      <c r="R26" s="259">
        <f t="shared" si="1"/>
        <v>8.1</v>
      </c>
      <c r="S26" s="262">
        <f t="shared" si="2"/>
        <v>8.821132075471699</v>
      </c>
      <c r="T26" s="262">
        <f t="shared" si="7"/>
        <v>61.6</v>
      </c>
      <c r="U26" s="262">
        <f t="shared" si="7"/>
        <v>61.6</v>
      </c>
    </row>
    <row r="27" spans="2:22" ht="54" customHeight="1">
      <c r="B27" s="225" t="s">
        <v>241</v>
      </c>
      <c r="C27" s="230">
        <v>0.2</v>
      </c>
      <c r="D27" s="236">
        <v>0</v>
      </c>
      <c r="E27" s="236">
        <v>0</v>
      </c>
      <c r="F27" s="236">
        <v>0</v>
      </c>
      <c r="G27" s="238">
        <f t="shared" si="0"/>
        <v>0.2</v>
      </c>
      <c r="H27" s="239">
        <v>0</v>
      </c>
      <c r="I27" s="236">
        <v>0</v>
      </c>
      <c r="J27" s="236">
        <v>0</v>
      </c>
      <c r="K27" s="236">
        <v>0</v>
      </c>
      <c r="L27" s="236">
        <v>0</v>
      </c>
      <c r="M27" s="236">
        <v>0</v>
      </c>
      <c r="N27" s="236">
        <v>0</v>
      </c>
      <c r="O27" s="236">
        <v>0</v>
      </c>
      <c r="P27" s="236">
        <v>0</v>
      </c>
      <c r="Q27" s="236">
        <v>0</v>
      </c>
      <c r="R27" s="238">
        <f t="shared" si="1"/>
        <v>0</v>
      </c>
      <c r="S27" s="243">
        <f t="shared" si="2"/>
        <v>0.2</v>
      </c>
      <c r="T27" s="244">
        <v>0.5</v>
      </c>
      <c r="U27" s="244">
        <v>0.4</v>
      </c>
      <c r="V27" s="3"/>
    </row>
    <row r="28" spans="1:21" ht="54" customHeight="1">
      <c r="A28" s="85"/>
      <c r="B28" s="226" t="s">
        <v>238</v>
      </c>
      <c r="C28" s="227">
        <v>0.1</v>
      </c>
      <c r="D28" s="245"/>
      <c r="E28" s="245"/>
      <c r="F28" s="245"/>
      <c r="G28" s="246">
        <f t="shared" si="0"/>
        <v>0.1</v>
      </c>
      <c r="H28" s="269">
        <v>0.5</v>
      </c>
      <c r="I28" s="270"/>
      <c r="J28" s="270"/>
      <c r="K28" s="271"/>
      <c r="L28" s="270">
        <v>5</v>
      </c>
      <c r="M28" s="270">
        <v>0.5</v>
      </c>
      <c r="N28" s="270">
        <v>0.5</v>
      </c>
      <c r="O28" s="248"/>
      <c r="P28" s="248"/>
      <c r="Q28" s="248"/>
      <c r="R28" s="246">
        <f t="shared" si="1"/>
        <v>6.5</v>
      </c>
      <c r="S28" s="249">
        <f t="shared" si="2"/>
        <v>6.6</v>
      </c>
      <c r="T28" s="250">
        <v>7.8</v>
      </c>
      <c r="U28" s="250">
        <v>4.9</v>
      </c>
    </row>
    <row r="29" spans="1:21" ht="54" customHeight="1">
      <c r="A29" s="85"/>
      <c r="B29" s="199" t="s">
        <v>240</v>
      </c>
      <c r="C29" s="227">
        <v>0</v>
      </c>
      <c r="D29" s="245"/>
      <c r="E29" s="245"/>
      <c r="F29" s="245"/>
      <c r="G29" s="246">
        <f t="shared" si="0"/>
        <v>0</v>
      </c>
      <c r="H29" s="247"/>
      <c r="I29" s="248"/>
      <c r="J29" s="248"/>
      <c r="K29" s="245"/>
      <c r="L29" s="248">
        <v>2</v>
      </c>
      <c r="M29" s="248"/>
      <c r="N29" s="248"/>
      <c r="O29" s="248"/>
      <c r="P29" s="248"/>
      <c r="Q29" s="248"/>
      <c r="R29" s="246">
        <f t="shared" si="1"/>
        <v>2</v>
      </c>
      <c r="S29" s="249">
        <f t="shared" si="2"/>
        <v>2</v>
      </c>
      <c r="T29" s="250">
        <v>4.1</v>
      </c>
      <c r="U29" s="250">
        <v>3.3</v>
      </c>
    </row>
    <row r="30" spans="1:21" ht="54" customHeight="1">
      <c r="A30" s="85"/>
      <c r="B30" s="199" t="s">
        <v>243</v>
      </c>
      <c r="C30" s="227">
        <v>0</v>
      </c>
      <c r="D30" s="245">
        <v>0.5</v>
      </c>
      <c r="E30" s="245"/>
      <c r="F30" s="245"/>
      <c r="G30" s="246">
        <f t="shared" si="0"/>
        <v>0.5</v>
      </c>
      <c r="H30" s="247"/>
      <c r="I30" s="248"/>
      <c r="J30" s="248">
        <v>0.4</v>
      </c>
      <c r="K30" s="245">
        <v>0.5</v>
      </c>
      <c r="L30" s="248">
        <v>4.2</v>
      </c>
      <c r="M30" s="248"/>
      <c r="N30" s="248">
        <v>1.5</v>
      </c>
      <c r="O30" s="248"/>
      <c r="P30" s="248"/>
      <c r="Q30" s="248">
        <v>0.2</v>
      </c>
      <c r="R30" s="246">
        <f t="shared" si="1"/>
        <v>6.800000000000001</v>
      </c>
      <c r="S30" s="249">
        <f t="shared" si="2"/>
        <v>7.300000000000001</v>
      </c>
      <c r="T30" s="250">
        <v>75</v>
      </c>
      <c r="U30" s="250">
        <v>65</v>
      </c>
    </row>
    <row r="31" spans="2:21" ht="54" customHeight="1" thickBot="1">
      <c r="B31" s="228" t="s">
        <v>256</v>
      </c>
      <c r="C31" s="231">
        <v>0.30000000000000004</v>
      </c>
      <c r="D31" s="251">
        <f aca="true" t="shared" si="8" ref="D31:U31">SUM(D27:D30)</f>
        <v>0.5</v>
      </c>
      <c r="E31" s="251">
        <f t="shared" si="8"/>
        <v>0</v>
      </c>
      <c r="F31" s="251">
        <f t="shared" si="8"/>
        <v>0</v>
      </c>
      <c r="G31" s="259">
        <f t="shared" si="0"/>
        <v>0.8</v>
      </c>
      <c r="H31" s="260">
        <f t="shared" si="8"/>
        <v>0.5</v>
      </c>
      <c r="I31" s="261">
        <f t="shared" si="8"/>
        <v>0</v>
      </c>
      <c r="J31" s="261">
        <f t="shared" si="8"/>
        <v>0.4</v>
      </c>
      <c r="K31" s="261">
        <f t="shared" si="8"/>
        <v>0.5</v>
      </c>
      <c r="L31" s="261">
        <f t="shared" si="8"/>
        <v>11.2</v>
      </c>
      <c r="M31" s="261">
        <f t="shared" si="8"/>
        <v>0.5</v>
      </c>
      <c r="N31" s="261">
        <f t="shared" si="8"/>
        <v>2</v>
      </c>
      <c r="O31" s="261">
        <f t="shared" si="8"/>
        <v>0</v>
      </c>
      <c r="P31" s="261">
        <f t="shared" si="8"/>
        <v>0</v>
      </c>
      <c r="Q31" s="261">
        <f t="shared" si="8"/>
        <v>0.2</v>
      </c>
      <c r="R31" s="259">
        <f t="shared" si="1"/>
        <v>15.299999999999999</v>
      </c>
      <c r="S31" s="262">
        <f t="shared" si="2"/>
        <v>16.099999999999998</v>
      </c>
      <c r="T31" s="262">
        <f t="shared" si="8"/>
        <v>87.4</v>
      </c>
      <c r="U31" s="262">
        <f t="shared" si="8"/>
        <v>73.6</v>
      </c>
    </row>
    <row r="32" spans="2:21" ht="54" customHeight="1" thickBot="1">
      <c r="B32" s="234" t="s">
        <v>245</v>
      </c>
      <c r="C32" s="235">
        <f>SUM(C11,C15,C17,C23,C26,C31)</f>
        <v>38.88113207547169</v>
      </c>
      <c r="D32" s="272">
        <f>SUM(D11,D15,D17,D23,D26,D31)</f>
        <v>56.71</v>
      </c>
      <c r="E32" s="272">
        <f>SUM(E11,E15,E17,E23,E26,E31)</f>
        <v>27.130000000000003</v>
      </c>
      <c r="F32" s="272">
        <f>SUM(F11,F15,F17,F23,F26,F31)</f>
        <v>2.7</v>
      </c>
      <c r="G32" s="273">
        <f t="shared" si="0"/>
        <v>125.4211320754717</v>
      </c>
      <c r="H32" s="274">
        <f aca="true" t="shared" si="9" ref="H32:Q32">SUM(H11,H15,H17,H23,H26,H31)</f>
        <v>20.310000000000002</v>
      </c>
      <c r="I32" s="272">
        <f t="shared" si="9"/>
        <v>0.1</v>
      </c>
      <c r="J32" s="272">
        <f t="shared" si="9"/>
        <v>157.78</v>
      </c>
      <c r="K32" s="272">
        <f t="shared" si="9"/>
        <v>47.50999999999999</v>
      </c>
      <c r="L32" s="272">
        <f t="shared" si="9"/>
        <v>432.37</v>
      </c>
      <c r="M32" s="272">
        <f t="shared" si="9"/>
        <v>0.5</v>
      </c>
      <c r="N32" s="272">
        <f t="shared" si="9"/>
        <v>2</v>
      </c>
      <c r="O32" s="272">
        <f t="shared" si="9"/>
        <v>2.5</v>
      </c>
      <c r="P32" s="272">
        <f t="shared" si="9"/>
        <v>4.5</v>
      </c>
      <c r="Q32" s="272">
        <f t="shared" si="9"/>
        <v>0.6000000000000001</v>
      </c>
      <c r="R32" s="273">
        <f t="shared" si="1"/>
        <v>668.17</v>
      </c>
      <c r="S32" s="275">
        <f t="shared" si="2"/>
        <v>793.5911320754717</v>
      </c>
      <c r="T32" s="275">
        <f>SUM(T11,T15,T17,T23,T26,T31)</f>
        <v>9037.509710543989</v>
      </c>
      <c r="U32" s="275">
        <f>SUM(U11,U15,U17,U23,U26,U31)</f>
        <v>8590.010275352586</v>
      </c>
    </row>
    <row r="33" ht="54" customHeight="1">
      <c r="N33" s="49"/>
    </row>
  </sheetData>
  <sheetProtection/>
  <mergeCells count="6">
    <mergeCell ref="T1:V1"/>
    <mergeCell ref="H5:R5"/>
    <mergeCell ref="C5:G5"/>
    <mergeCell ref="M6:P6"/>
    <mergeCell ref="H6:L6"/>
    <mergeCell ref="C6:E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8"/>
  <sheetViews>
    <sheetView showOutlineSymbols="0" view="pageBreakPreview" zoomScale="50" zoomScaleNormal="87" zoomScaleSheetLayoutView="50" zoomScalePageLayoutView="0" workbookViewId="0" topLeftCell="A2">
      <selection activeCell="X3" sqref="X2:X3"/>
    </sheetView>
  </sheetViews>
  <sheetFormatPr defaultColWidth="10.75390625" defaultRowHeight="54" customHeight="1"/>
  <cols>
    <col min="1" max="1" width="7.375" style="46" customWidth="1"/>
    <col min="2" max="2" width="20.625" style="46" customWidth="1"/>
    <col min="3" max="18" width="12.625" style="46" customWidth="1"/>
    <col min="19" max="21" width="15.625" style="1" customWidth="1"/>
    <col min="22" max="22" width="1.625" style="46" customWidth="1"/>
    <col min="23" max="23" width="8.75390625" style="46" customWidth="1"/>
    <col min="24" max="16384" width="10.75390625" style="46" customWidth="1"/>
  </cols>
  <sheetData>
    <row r="1" spans="9:22" ht="54" customHeight="1">
      <c r="I1" s="69"/>
      <c r="T1" s="823"/>
      <c r="U1" s="823"/>
      <c r="V1" s="23"/>
    </row>
    <row r="2" spans="2:21" ht="54" customHeight="1">
      <c r="B2" s="2" t="s">
        <v>273</v>
      </c>
      <c r="K2" s="49"/>
      <c r="L2" s="49"/>
      <c r="U2" s="70"/>
    </row>
    <row r="3" spans="2:12" ht="54" customHeight="1">
      <c r="B3" s="2"/>
      <c r="K3" s="49"/>
      <c r="L3" s="49"/>
    </row>
    <row r="4" spans="1:22" ht="54" customHeight="1" thickBot="1">
      <c r="A4" s="58"/>
      <c r="B4" s="4" t="s">
        <v>284</v>
      </c>
      <c r="C4" s="58"/>
      <c r="D4" s="58"/>
      <c r="E4" s="58"/>
      <c r="F4" s="59"/>
      <c r="G4" s="58"/>
      <c r="H4" s="58"/>
      <c r="I4" s="58"/>
      <c r="J4" s="58"/>
      <c r="K4" s="60"/>
      <c r="L4" s="61"/>
      <c r="M4" s="58"/>
      <c r="N4" s="58"/>
      <c r="O4" s="58"/>
      <c r="P4" s="58"/>
      <c r="Q4" s="58"/>
      <c r="S4" s="6"/>
      <c r="V4" s="58"/>
    </row>
    <row r="5" spans="1:22" ht="54" customHeight="1">
      <c r="A5" s="58"/>
      <c r="B5" s="30"/>
      <c r="C5" s="828" t="s">
        <v>76</v>
      </c>
      <c r="D5" s="797"/>
      <c r="E5" s="770"/>
      <c r="F5" s="763" t="s">
        <v>246</v>
      </c>
      <c r="G5" s="763"/>
      <c r="H5" s="763"/>
      <c r="I5" s="763"/>
      <c r="J5" s="763"/>
      <c r="K5" s="763"/>
      <c r="L5" s="763"/>
      <c r="M5" s="763"/>
      <c r="N5" s="763"/>
      <c r="O5" s="763"/>
      <c r="P5" s="763"/>
      <c r="Q5" s="763"/>
      <c r="R5" s="764"/>
      <c r="S5" s="30" t="s">
        <v>118</v>
      </c>
      <c r="T5" s="82" t="s">
        <v>119</v>
      </c>
      <c r="U5" s="63" t="s">
        <v>120</v>
      </c>
      <c r="V5" s="58"/>
    </row>
    <row r="6" spans="1:22" ht="54" customHeight="1">
      <c r="A6" s="58"/>
      <c r="B6" s="9" t="s">
        <v>0</v>
      </c>
      <c r="C6" s="765" t="s">
        <v>28</v>
      </c>
      <c r="D6" s="756"/>
      <c r="E6" s="53"/>
      <c r="F6" s="756" t="s">
        <v>28</v>
      </c>
      <c r="G6" s="756"/>
      <c r="H6" s="756"/>
      <c r="I6" s="761"/>
      <c r="J6" s="756" t="s">
        <v>27</v>
      </c>
      <c r="K6" s="756"/>
      <c r="L6" s="756"/>
      <c r="M6" s="756"/>
      <c r="N6" s="832" t="s">
        <v>109</v>
      </c>
      <c r="O6" s="833"/>
      <c r="P6" s="833"/>
      <c r="Q6" s="31" t="s">
        <v>20</v>
      </c>
      <c r="R6" s="53"/>
      <c r="S6" s="9" t="s">
        <v>49</v>
      </c>
      <c r="T6" s="83" t="s">
        <v>49</v>
      </c>
      <c r="U6" s="64" t="s">
        <v>49</v>
      </c>
      <c r="V6" s="58"/>
    </row>
    <row r="7" spans="1:22" ht="54" customHeight="1" thickBot="1">
      <c r="A7" s="58"/>
      <c r="B7" s="32"/>
      <c r="C7" s="44" t="s">
        <v>4</v>
      </c>
      <c r="D7" s="26" t="s">
        <v>192</v>
      </c>
      <c r="E7" s="41" t="s">
        <v>6</v>
      </c>
      <c r="F7" s="197" t="s">
        <v>3</v>
      </c>
      <c r="G7" s="40" t="s">
        <v>7</v>
      </c>
      <c r="H7" s="43" t="s">
        <v>2</v>
      </c>
      <c r="I7" s="173" t="s">
        <v>251</v>
      </c>
      <c r="J7" s="40" t="s">
        <v>5</v>
      </c>
      <c r="K7" s="33" t="s">
        <v>8</v>
      </c>
      <c r="L7" s="33" t="s">
        <v>1</v>
      </c>
      <c r="M7" s="34" t="s">
        <v>129</v>
      </c>
      <c r="N7" s="43" t="s">
        <v>47</v>
      </c>
      <c r="O7" s="42" t="s">
        <v>48</v>
      </c>
      <c r="P7" s="43" t="s">
        <v>9</v>
      </c>
      <c r="Q7" s="20" t="s">
        <v>127</v>
      </c>
      <c r="R7" s="51" t="s">
        <v>6</v>
      </c>
      <c r="S7" s="37" t="s">
        <v>193</v>
      </c>
      <c r="T7" s="84" t="s">
        <v>194</v>
      </c>
      <c r="U7" s="65" t="s">
        <v>194</v>
      </c>
      <c r="V7" s="58"/>
    </row>
    <row r="8" spans="1:22" ht="54" customHeight="1">
      <c r="A8" s="85"/>
      <c r="B8" s="67" t="s">
        <v>211</v>
      </c>
      <c r="C8" s="425"/>
      <c r="D8" s="426"/>
      <c r="E8" s="592">
        <f>SUM(C8:D8)</f>
        <v>0</v>
      </c>
      <c r="F8" s="429"/>
      <c r="G8" s="593"/>
      <c r="H8" s="426"/>
      <c r="I8" s="594"/>
      <c r="J8" s="593"/>
      <c r="K8" s="426"/>
      <c r="L8" s="426"/>
      <c r="M8" s="426"/>
      <c r="N8" s="426"/>
      <c r="O8" s="426"/>
      <c r="P8" s="593"/>
      <c r="Q8" s="593">
        <v>0.3</v>
      </c>
      <c r="R8" s="428">
        <f>SUM(F8:Q8)</f>
        <v>0.3</v>
      </c>
      <c r="S8" s="595">
        <f>SUM(E8,R8)</f>
        <v>0.3</v>
      </c>
      <c r="T8" s="431">
        <v>0.2</v>
      </c>
      <c r="U8" s="432">
        <v>0.2</v>
      </c>
      <c r="V8" s="58"/>
    </row>
    <row r="9" spans="1:22" ht="54" customHeight="1" thickBot="1">
      <c r="A9" s="58"/>
      <c r="B9" s="22" t="s">
        <v>252</v>
      </c>
      <c r="C9" s="596">
        <f>SUM(C8)</f>
        <v>0</v>
      </c>
      <c r="D9" s="434">
        <f aca="true" t="shared" si="0" ref="D9:U9">SUM(D8)</f>
        <v>0</v>
      </c>
      <c r="E9" s="435">
        <f aca="true" t="shared" si="1" ref="E9:E28">SUM(C9:D9)</f>
        <v>0</v>
      </c>
      <c r="F9" s="436">
        <f t="shared" si="0"/>
        <v>0</v>
      </c>
      <c r="G9" s="434">
        <f t="shared" si="0"/>
        <v>0</v>
      </c>
      <c r="H9" s="434">
        <f t="shared" si="0"/>
        <v>0</v>
      </c>
      <c r="I9" s="434">
        <f t="shared" si="0"/>
        <v>0</v>
      </c>
      <c r="J9" s="434">
        <f t="shared" si="0"/>
        <v>0</v>
      </c>
      <c r="K9" s="434">
        <f t="shared" si="0"/>
        <v>0</v>
      </c>
      <c r="L9" s="434">
        <f t="shared" si="0"/>
        <v>0</v>
      </c>
      <c r="M9" s="434">
        <f t="shared" si="0"/>
        <v>0</v>
      </c>
      <c r="N9" s="434">
        <f t="shared" si="0"/>
        <v>0</v>
      </c>
      <c r="O9" s="434">
        <f t="shared" si="0"/>
        <v>0</v>
      </c>
      <c r="P9" s="434">
        <f t="shared" si="0"/>
        <v>0</v>
      </c>
      <c r="Q9" s="434">
        <f t="shared" si="0"/>
        <v>0.3</v>
      </c>
      <c r="R9" s="597">
        <f aca="true" t="shared" si="2" ref="R9:R28">SUM(F9:Q9)</f>
        <v>0.3</v>
      </c>
      <c r="S9" s="458">
        <f aca="true" t="shared" si="3" ref="S9:S28">SUM(E9,R9)</f>
        <v>0.3</v>
      </c>
      <c r="T9" s="458">
        <f t="shared" si="0"/>
        <v>0.2</v>
      </c>
      <c r="U9" s="598">
        <f t="shared" si="0"/>
        <v>0.2</v>
      </c>
      <c r="V9" s="58"/>
    </row>
    <row r="10" spans="1:22" ht="54" customHeight="1">
      <c r="A10" s="85"/>
      <c r="B10" s="202" t="s">
        <v>294</v>
      </c>
      <c r="C10" s="425"/>
      <c r="D10" s="426"/>
      <c r="E10" s="592">
        <f t="shared" si="1"/>
        <v>0</v>
      </c>
      <c r="F10" s="425">
        <v>0.6</v>
      </c>
      <c r="G10" s="593"/>
      <c r="H10" s="426"/>
      <c r="I10" s="594"/>
      <c r="J10" s="593">
        <v>8</v>
      </c>
      <c r="K10" s="426"/>
      <c r="L10" s="426"/>
      <c r="M10" s="426"/>
      <c r="N10" s="426"/>
      <c r="O10" s="426"/>
      <c r="P10" s="593">
        <v>0.5</v>
      </c>
      <c r="Q10" s="593"/>
      <c r="R10" s="428">
        <f t="shared" si="2"/>
        <v>9.1</v>
      </c>
      <c r="S10" s="595">
        <f t="shared" si="3"/>
        <v>9.1</v>
      </c>
      <c r="T10" s="431">
        <v>12</v>
      </c>
      <c r="U10" s="432">
        <v>11.5</v>
      </c>
      <c r="V10" s="58"/>
    </row>
    <row r="11" spans="1:22" ht="54" customHeight="1">
      <c r="A11" s="85"/>
      <c r="B11" s="67" t="s">
        <v>220</v>
      </c>
      <c r="C11" s="737"/>
      <c r="D11" s="677"/>
      <c r="E11" s="738">
        <f>SUM(C11:D11)</f>
        <v>0</v>
      </c>
      <c r="F11" s="737"/>
      <c r="G11" s="739"/>
      <c r="H11" s="724">
        <f>(1.4-2.2)/3+1.4</f>
        <v>1.133333333333333</v>
      </c>
      <c r="I11" s="740"/>
      <c r="J11" s="724">
        <f>(2.9-4.4)/3+2.9</f>
        <v>2.4</v>
      </c>
      <c r="K11" s="677"/>
      <c r="L11" s="724">
        <f>(3.4-4.6)/3+3.4</f>
        <v>3</v>
      </c>
      <c r="M11" s="677"/>
      <c r="N11" s="677"/>
      <c r="O11" s="677"/>
      <c r="P11" s="739"/>
      <c r="Q11" s="739"/>
      <c r="R11" s="678">
        <f>SUM(F11:Q11)</f>
        <v>6.533333333333333</v>
      </c>
      <c r="S11" s="741">
        <f>E11+R11</f>
        <v>6.533333333333333</v>
      </c>
      <c r="T11" s="667">
        <f>7.8/7.7*S11</f>
        <v>6.618181818181817</v>
      </c>
      <c r="U11" s="680">
        <f>T11</f>
        <v>6.618181818181817</v>
      </c>
      <c r="V11" s="58"/>
    </row>
    <row r="12" spans="1:22" ht="54" customHeight="1">
      <c r="A12" s="74"/>
      <c r="B12" s="202" t="s">
        <v>223</v>
      </c>
      <c r="C12" s="425"/>
      <c r="D12" s="426"/>
      <c r="E12" s="592">
        <f t="shared" si="1"/>
        <v>0</v>
      </c>
      <c r="F12" s="425"/>
      <c r="G12" s="593"/>
      <c r="H12" s="426"/>
      <c r="I12" s="599"/>
      <c r="J12" s="593">
        <v>1</v>
      </c>
      <c r="K12" s="426"/>
      <c r="L12" s="426">
        <v>3.7</v>
      </c>
      <c r="M12" s="426"/>
      <c r="N12" s="426"/>
      <c r="O12" s="426"/>
      <c r="P12" s="593"/>
      <c r="Q12" s="593"/>
      <c r="R12" s="428">
        <f t="shared" si="2"/>
        <v>4.7</v>
      </c>
      <c r="S12" s="595">
        <f t="shared" si="3"/>
        <v>4.7</v>
      </c>
      <c r="T12" s="431">
        <v>4.7</v>
      </c>
      <c r="U12" s="432">
        <v>0.2</v>
      </c>
      <c r="V12" s="58"/>
    </row>
    <row r="13" spans="1:22" ht="54" customHeight="1" thickBot="1">
      <c r="A13" s="58"/>
      <c r="B13" s="22" t="s">
        <v>253</v>
      </c>
      <c r="C13" s="458">
        <f>SUM(C10:C12)</f>
        <v>0</v>
      </c>
      <c r="D13" s="597">
        <f>SUM(D10:D12)</f>
        <v>0</v>
      </c>
      <c r="E13" s="600">
        <f t="shared" si="1"/>
        <v>0</v>
      </c>
      <c r="F13" s="596">
        <f aca="true" t="shared" si="4" ref="F13:Q13">SUM(F10:F12)</f>
        <v>0.6</v>
      </c>
      <c r="G13" s="601">
        <f t="shared" si="4"/>
        <v>0</v>
      </c>
      <c r="H13" s="601">
        <f t="shared" si="4"/>
        <v>1.133333333333333</v>
      </c>
      <c r="I13" s="602">
        <f t="shared" si="4"/>
        <v>0</v>
      </c>
      <c r="J13" s="601">
        <f t="shared" si="4"/>
        <v>11.4</v>
      </c>
      <c r="K13" s="601">
        <f t="shared" si="4"/>
        <v>0</v>
      </c>
      <c r="L13" s="601">
        <f t="shared" si="4"/>
        <v>6.7</v>
      </c>
      <c r="M13" s="601">
        <f t="shared" si="4"/>
        <v>0</v>
      </c>
      <c r="N13" s="601">
        <f t="shared" si="4"/>
        <v>0</v>
      </c>
      <c r="O13" s="601">
        <f t="shared" si="4"/>
        <v>0</v>
      </c>
      <c r="P13" s="601">
        <f t="shared" si="4"/>
        <v>0.5</v>
      </c>
      <c r="Q13" s="601">
        <f t="shared" si="4"/>
        <v>0</v>
      </c>
      <c r="R13" s="603">
        <f t="shared" si="2"/>
        <v>20.333333333333332</v>
      </c>
      <c r="S13" s="604">
        <f t="shared" si="3"/>
        <v>20.333333333333332</v>
      </c>
      <c r="T13" s="605">
        <f>SUM(T10:T12)</f>
        <v>23.318181818181817</v>
      </c>
      <c r="U13" s="606">
        <f>SUM(U10:U12)</f>
        <v>18.318181818181817</v>
      </c>
      <c r="V13" s="58"/>
    </row>
    <row r="14" spans="1:22" ht="54" customHeight="1">
      <c r="A14" s="85"/>
      <c r="B14" s="67" t="s">
        <v>244</v>
      </c>
      <c r="C14" s="425"/>
      <c r="D14" s="426"/>
      <c r="E14" s="592">
        <f t="shared" si="1"/>
        <v>0</v>
      </c>
      <c r="F14" s="425"/>
      <c r="G14" s="593"/>
      <c r="H14" s="426"/>
      <c r="I14" s="594"/>
      <c r="J14" s="593"/>
      <c r="K14" s="426">
        <v>0.2</v>
      </c>
      <c r="L14" s="426"/>
      <c r="M14" s="426"/>
      <c r="N14" s="426"/>
      <c r="O14" s="426"/>
      <c r="P14" s="593"/>
      <c r="Q14" s="593">
        <v>0.1</v>
      </c>
      <c r="R14" s="428">
        <f t="shared" si="2"/>
        <v>0.30000000000000004</v>
      </c>
      <c r="S14" s="595">
        <f t="shared" si="3"/>
        <v>0.30000000000000004</v>
      </c>
      <c r="T14" s="431">
        <v>0.2</v>
      </c>
      <c r="U14" s="432">
        <v>0.2</v>
      </c>
      <c r="V14" s="58"/>
    </row>
    <row r="15" spans="1:22" ht="54" customHeight="1" thickBot="1">
      <c r="A15" s="58"/>
      <c r="B15" s="22" t="s">
        <v>254</v>
      </c>
      <c r="C15" s="458">
        <f>SUM(C14)</f>
        <v>0</v>
      </c>
      <c r="D15" s="597">
        <f aca="true" t="shared" si="5" ref="D15:U15">SUM(D14)</f>
        <v>0</v>
      </c>
      <c r="E15" s="600">
        <f t="shared" si="1"/>
        <v>0</v>
      </c>
      <c r="F15" s="596">
        <f t="shared" si="5"/>
        <v>0</v>
      </c>
      <c r="G15" s="601">
        <f t="shared" si="5"/>
        <v>0</v>
      </c>
      <c r="H15" s="601">
        <f t="shared" si="5"/>
        <v>0</v>
      </c>
      <c r="I15" s="602">
        <f t="shared" si="5"/>
        <v>0</v>
      </c>
      <c r="J15" s="601">
        <f t="shared" si="5"/>
        <v>0</v>
      </c>
      <c r="K15" s="601">
        <f t="shared" si="5"/>
        <v>0.2</v>
      </c>
      <c r="L15" s="601">
        <f t="shared" si="5"/>
        <v>0</v>
      </c>
      <c r="M15" s="601">
        <f t="shared" si="5"/>
        <v>0</v>
      </c>
      <c r="N15" s="601">
        <f t="shared" si="5"/>
        <v>0</v>
      </c>
      <c r="O15" s="601">
        <f t="shared" si="5"/>
        <v>0</v>
      </c>
      <c r="P15" s="601">
        <f t="shared" si="5"/>
        <v>0</v>
      </c>
      <c r="Q15" s="601">
        <f t="shared" si="5"/>
        <v>0.1</v>
      </c>
      <c r="R15" s="603">
        <f t="shared" si="2"/>
        <v>0.30000000000000004</v>
      </c>
      <c r="S15" s="604">
        <f t="shared" si="3"/>
        <v>0.30000000000000004</v>
      </c>
      <c r="T15" s="605">
        <f t="shared" si="5"/>
        <v>0.2</v>
      </c>
      <c r="U15" s="606">
        <f t="shared" si="5"/>
        <v>0.2</v>
      </c>
      <c r="V15" s="58"/>
    </row>
    <row r="16" spans="1:22" ht="54" customHeight="1">
      <c r="A16" s="85"/>
      <c r="B16" s="67" t="s">
        <v>224</v>
      </c>
      <c r="C16" s="425"/>
      <c r="D16" s="426"/>
      <c r="E16" s="592">
        <f t="shared" si="1"/>
        <v>0</v>
      </c>
      <c r="F16" s="425"/>
      <c r="G16" s="593"/>
      <c r="H16" s="426"/>
      <c r="I16" s="594"/>
      <c r="J16" s="593"/>
      <c r="K16" s="426"/>
      <c r="L16" s="426"/>
      <c r="M16" s="426"/>
      <c r="N16" s="426"/>
      <c r="O16" s="426"/>
      <c r="P16" s="593"/>
      <c r="Q16" s="593">
        <v>0.2</v>
      </c>
      <c r="R16" s="428">
        <f t="shared" si="2"/>
        <v>0.2</v>
      </c>
      <c r="S16" s="595">
        <f t="shared" si="3"/>
        <v>0.2</v>
      </c>
      <c r="T16" s="431">
        <v>0.3</v>
      </c>
      <c r="U16" s="432">
        <v>0.2</v>
      </c>
      <c r="V16" s="58"/>
    </row>
    <row r="17" spans="1:22" ht="54" customHeight="1">
      <c r="A17" s="74"/>
      <c r="B17" s="67" t="s">
        <v>226</v>
      </c>
      <c r="C17" s="425"/>
      <c r="D17" s="426">
        <v>0.9</v>
      </c>
      <c r="E17" s="592">
        <f t="shared" si="1"/>
        <v>0.9</v>
      </c>
      <c r="F17" s="425"/>
      <c r="G17" s="593">
        <v>0.9</v>
      </c>
      <c r="H17" s="426">
        <v>2</v>
      </c>
      <c r="I17" s="594"/>
      <c r="J17" s="593"/>
      <c r="K17" s="426"/>
      <c r="L17" s="426">
        <v>3</v>
      </c>
      <c r="M17" s="426">
        <v>3</v>
      </c>
      <c r="N17" s="426"/>
      <c r="O17" s="426"/>
      <c r="P17" s="593"/>
      <c r="Q17" s="593"/>
      <c r="R17" s="428">
        <f t="shared" si="2"/>
        <v>8.9</v>
      </c>
      <c r="S17" s="595">
        <f t="shared" si="3"/>
        <v>9.8</v>
      </c>
      <c r="T17" s="431">
        <v>25</v>
      </c>
      <c r="U17" s="432">
        <v>24</v>
      </c>
      <c r="V17" s="58"/>
    </row>
    <row r="18" spans="1:22" ht="54" customHeight="1">
      <c r="A18" s="74"/>
      <c r="B18" s="67" t="s">
        <v>227</v>
      </c>
      <c r="C18" s="425"/>
      <c r="D18" s="426"/>
      <c r="E18" s="592">
        <f t="shared" si="1"/>
        <v>0</v>
      </c>
      <c r="F18" s="425"/>
      <c r="G18" s="593">
        <v>0.2</v>
      </c>
      <c r="H18" s="426">
        <v>0.2</v>
      </c>
      <c r="I18" s="594"/>
      <c r="J18" s="593">
        <v>0.4</v>
      </c>
      <c r="K18" s="426"/>
      <c r="L18" s="426">
        <v>0.4</v>
      </c>
      <c r="M18" s="426"/>
      <c r="N18" s="426"/>
      <c r="O18" s="426"/>
      <c r="P18" s="593">
        <v>0.3</v>
      </c>
      <c r="Q18" s="593"/>
      <c r="R18" s="428">
        <f t="shared" si="2"/>
        <v>1.5000000000000002</v>
      </c>
      <c r="S18" s="595">
        <f t="shared" si="3"/>
        <v>1.5000000000000002</v>
      </c>
      <c r="T18" s="431">
        <v>4.5</v>
      </c>
      <c r="U18" s="432">
        <v>4</v>
      </c>
      <c r="V18" s="58"/>
    </row>
    <row r="19" spans="1:22" ht="54" customHeight="1">
      <c r="A19" s="74"/>
      <c r="B19" s="67" t="s">
        <v>237</v>
      </c>
      <c r="C19" s="425"/>
      <c r="D19" s="426"/>
      <c r="E19" s="592">
        <f t="shared" si="1"/>
        <v>0</v>
      </c>
      <c r="F19" s="425"/>
      <c r="G19" s="593"/>
      <c r="H19" s="426"/>
      <c r="I19" s="594"/>
      <c r="J19" s="593"/>
      <c r="K19" s="426"/>
      <c r="L19" s="426">
        <v>2</v>
      </c>
      <c r="M19" s="426"/>
      <c r="N19" s="426"/>
      <c r="O19" s="426"/>
      <c r="P19" s="593">
        <v>6</v>
      </c>
      <c r="Q19" s="593"/>
      <c r="R19" s="428">
        <f t="shared" si="2"/>
        <v>8</v>
      </c>
      <c r="S19" s="595">
        <f t="shared" si="3"/>
        <v>8</v>
      </c>
      <c r="T19" s="431">
        <v>12</v>
      </c>
      <c r="U19" s="448">
        <v>10.7</v>
      </c>
      <c r="V19" s="58"/>
    </row>
    <row r="20" spans="1:22" ht="54" customHeight="1">
      <c r="A20" s="74"/>
      <c r="B20" s="67" t="s">
        <v>233</v>
      </c>
      <c r="C20" s="425"/>
      <c r="D20" s="426"/>
      <c r="E20" s="592">
        <f t="shared" si="1"/>
        <v>0</v>
      </c>
      <c r="F20" s="425"/>
      <c r="G20" s="593"/>
      <c r="H20" s="426"/>
      <c r="I20" s="594">
        <v>6.5</v>
      </c>
      <c r="J20" s="593"/>
      <c r="K20" s="426"/>
      <c r="L20" s="426"/>
      <c r="M20" s="426"/>
      <c r="N20" s="426"/>
      <c r="O20" s="426"/>
      <c r="P20" s="593"/>
      <c r="Q20" s="593"/>
      <c r="R20" s="428">
        <f t="shared" si="2"/>
        <v>6.5</v>
      </c>
      <c r="S20" s="595">
        <f t="shared" si="3"/>
        <v>6.5</v>
      </c>
      <c r="T20" s="431">
        <v>5.3</v>
      </c>
      <c r="U20" s="432">
        <v>4.8</v>
      </c>
      <c r="V20" s="58"/>
    </row>
    <row r="21" spans="1:22" ht="54" customHeight="1" thickBot="1">
      <c r="A21" s="58"/>
      <c r="B21" s="22" t="s">
        <v>257</v>
      </c>
      <c r="C21" s="458">
        <f>SUM(C16:C20)</f>
        <v>0</v>
      </c>
      <c r="D21" s="597">
        <f>SUM(D16:D20)</f>
        <v>0.9</v>
      </c>
      <c r="E21" s="600">
        <f t="shared" si="1"/>
        <v>0.9</v>
      </c>
      <c r="F21" s="596">
        <f aca="true" t="shared" si="6" ref="F21:Q21">SUM(F16:F20)</f>
        <v>0</v>
      </c>
      <c r="G21" s="601">
        <f t="shared" si="6"/>
        <v>1.1</v>
      </c>
      <c r="H21" s="434">
        <f t="shared" si="6"/>
        <v>2.2</v>
      </c>
      <c r="I21" s="607">
        <f t="shared" si="6"/>
        <v>6.5</v>
      </c>
      <c r="J21" s="601">
        <f t="shared" si="6"/>
        <v>0.4</v>
      </c>
      <c r="K21" s="601">
        <f t="shared" si="6"/>
        <v>0</v>
      </c>
      <c r="L21" s="601">
        <f t="shared" si="6"/>
        <v>5.4</v>
      </c>
      <c r="M21" s="601">
        <f t="shared" si="6"/>
        <v>3</v>
      </c>
      <c r="N21" s="601">
        <f t="shared" si="6"/>
        <v>0</v>
      </c>
      <c r="O21" s="601">
        <f t="shared" si="6"/>
        <v>0</v>
      </c>
      <c r="P21" s="601">
        <f t="shared" si="6"/>
        <v>6.3</v>
      </c>
      <c r="Q21" s="601">
        <f t="shared" si="6"/>
        <v>0.2</v>
      </c>
      <c r="R21" s="603">
        <f t="shared" si="2"/>
        <v>25.1</v>
      </c>
      <c r="S21" s="604">
        <f t="shared" si="3"/>
        <v>26</v>
      </c>
      <c r="T21" s="605">
        <f>SUM(T16:T20)</f>
        <v>47.099999999999994</v>
      </c>
      <c r="U21" s="606">
        <f>SUM(U16:U20)</f>
        <v>43.699999999999996</v>
      </c>
      <c r="V21" s="58"/>
    </row>
    <row r="22" spans="1:22" ht="54" customHeight="1">
      <c r="A22" s="85"/>
      <c r="B22" s="190" t="s">
        <v>207</v>
      </c>
      <c r="C22" s="438">
        <v>2.1</v>
      </c>
      <c r="D22" s="439"/>
      <c r="E22" s="608">
        <f t="shared" si="1"/>
        <v>2.1</v>
      </c>
      <c r="F22" s="438"/>
      <c r="G22" s="609">
        <v>8.5</v>
      </c>
      <c r="H22" s="439">
        <v>5.5</v>
      </c>
      <c r="I22" s="594"/>
      <c r="J22" s="609">
        <v>48.5</v>
      </c>
      <c r="K22" s="439"/>
      <c r="L22" s="439">
        <v>33.3</v>
      </c>
      <c r="M22" s="439">
        <v>3.9</v>
      </c>
      <c r="N22" s="439">
        <v>0.2</v>
      </c>
      <c r="O22" s="439">
        <v>0.2</v>
      </c>
      <c r="P22" s="609"/>
      <c r="Q22" s="609"/>
      <c r="R22" s="441">
        <f t="shared" si="2"/>
        <v>100.10000000000001</v>
      </c>
      <c r="S22" s="610">
        <f t="shared" si="3"/>
        <v>102.2</v>
      </c>
      <c r="T22" s="443">
        <v>5.4</v>
      </c>
      <c r="U22" s="444">
        <v>5.4</v>
      </c>
      <c r="V22" s="58"/>
    </row>
    <row r="23" spans="1:22" ht="54" customHeight="1" thickBot="1">
      <c r="A23" s="58"/>
      <c r="B23" s="22" t="s">
        <v>255</v>
      </c>
      <c r="C23" s="458">
        <f>SUM(C22)</f>
        <v>2.1</v>
      </c>
      <c r="D23" s="597">
        <f aca="true" t="shared" si="7" ref="D23:U23">SUM(D22)</f>
        <v>0</v>
      </c>
      <c r="E23" s="600">
        <f t="shared" si="1"/>
        <v>2.1</v>
      </c>
      <c r="F23" s="596">
        <f t="shared" si="7"/>
        <v>0</v>
      </c>
      <c r="G23" s="601">
        <f t="shared" si="7"/>
        <v>8.5</v>
      </c>
      <c r="H23" s="601">
        <f t="shared" si="7"/>
        <v>5.5</v>
      </c>
      <c r="I23" s="611">
        <f t="shared" si="7"/>
        <v>0</v>
      </c>
      <c r="J23" s="601">
        <f t="shared" si="7"/>
        <v>48.5</v>
      </c>
      <c r="K23" s="601">
        <f t="shared" si="7"/>
        <v>0</v>
      </c>
      <c r="L23" s="601">
        <f t="shared" si="7"/>
        <v>33.3</v>
      </c>
      <c r="M23" s="601">
        <f t="shared" si="7"/>
        <v>3.9</v>
      </c>
      <c r="N23" s="601">
        <f t="shared" si="7"/>
        <v>0.2</v>
      </c>
      <c r="O23" s="601">
        <f t="shared" si="7"/>
        <v>0.2</v>
      </c>
      <c r="P23" s="601">
        <f t="shared" si="7"/>
        <v>0</v>
      </c>
      <c r="Q23" s="601">
        <f t="shared" si="7"/>
        <v>0</v>
      </c>
      <c r="R23" s="603">
        <f t="shared" si="2"/>
        <v>100.10000000000001</v>
      </c>
      <c r="S23" s="604">
        <f t="shared" si="3"/>
        <v>102.2</v>
      </c>
      <c r="T23" s="605">
        <f t="shared" si="7"/>
        <v>5.4</v>
      </c>
      <c r="U23" s="606">
        <f t="shared" si="7"/>
        <v>5.4</v>
      </c>
      <c r="V23" s="58"/>
    </row>
    <row r="24" spans="1:22" ht="54" customHeight="1">
      <c r="A24" s="58"/>
      <c r="B24" s="122" t="s">
        <v>238</v>
      </c>
      <c r="C24" s="612"/>
      <c r="D24" s="613"/>
      <c r="E24" s="592">
        <f t="shared" si="1"/>
        <v>0</v>
      </c>
      <c r="F24" s="425"/>
      <c r="G24" s="593"/>
      <c r="H24" s="426">
        <v>0.3</v>
      </c>
      <c r="I24" s="594"/>
      <c r="J24" s="593"/>
      <c r="K24" s="426"/>
      <c r="L24" s="426">
        <v>0.5</v>
      </c>
      <c r="M24" s="426"/>
      <c r="N24" s="426"/>
      <c r="O24" s="426">
        <v>0.5</v>
      </c>
      <c r="P24" s="593"/>
      <c r="Q24" s="593"/>
      <c r="R24" s="428">
        <f t="shared" si="2"/>
        <v>1.3</v>
      </c>
      <c r="S24" s="595">
        <f t="shared" si="3"/>
        <v>1.3</v>
      </c>
      <c r="T24" s="431">
        <v>7.8</v>
      </c>
      <c r="U24" s="432">
        <v>5.8</v>
      </c>
      <c r="V24" s="58"/>
    </row>
    <row r="25" spans="1:22" ht="54" customHeight="1">
      <c r="A25" s="85"/>
      <c r="B25" s="106" t="s">
        <v>240</v>
      </c>
      <c r="C25" s="425"/>
      <c r="D25" s="426"/>
      <c r="E25" s="592">
        <f t="shared" si="1"/>
        <v>0</v>
      </c>
      <c r="F25" s="425"/>
      <c r="G25" s="593"/>
      <c r="H25" s="426"/>
      <c r="I25" s="594"/>
      <c r="J25" s="593">
        <v>0.2</v>
      </c>
      <c r="K25" s="426"/>
      <c r="L25" s="426"/>
      <c r="M25" s="426"/>
      <c r="N25" s="426"/>
      <c r="O25" s="426"/>
      <c r="P25" s="593"/>
      <c r="Q25" s="593"/>
      <c r="R25" s="428">
        <f t="shared" si="2"/>
        <v>0.2</v>
      </c>
      <c r="S25" s="595">
        <f t="shared" si="3"/>
        <v>0.2</v>
      </c>
      <c r="T25" s="431">
        <v>1</v>
      </c>
      <c r="U25" s="432">
        <v>0.8</v>
      </c>
      <c r="V25" s="58"/>
    </row>
    <row r="26" spans="1:22" ht="54" customHeight="1">
      <c r="A26" s="85"/>
      <c r="B26" s="68" t="s">
        <v>242</v>
      </c>
      <c r="C26" s="425"/>
      <c r="D26" s="426"/>
      <c r="E26" s="592">
        <f t="shared" si="1"/>
        <v>0</v>
      </c>
      <c r="F26" s="425"/>
      <c r="G26" s="593"/>
      <c r="H26" s="614">
        <v>0.1</v>
      </c>
      <c r="I26" s="594"/>
      <c r="J26" s="593"/>
      <c r="K26" s="426"/>
      <c r="L26" s="426"/>
      <c r="M26" s="426"/>
      <c r="N26" s="426"/>
      <c r="O26" s="426"/>
      <c r="P26" s="593"/>
      <c r="Q26" s="593"/>
      <c r="R26" s="428">
        <f t="shared" si="2"/>
        <v>0.1</v>
      </c>
      <c r="S26" s="595">
        <f t="shared" si="3"/>
        <v>0.1</v>
      </c>
      <c r="T26" s="431">
        <v>0.02</v>
      </c>
      <c r="U26" s="432">
        <v>0.01</v>
      </c>
      <c r="V26" s="58"/>
    </row>
    <row r="27" spans="1:22" ht="54" customHeight="1" thickBot="1">
      <c r="A27" s="58"/>
      <c r="B27" s="157" t="s">
        <v>256</v>
      </c>
      <c r="C27" s="615">
        <f>SUM(C24:C26)</f>
        <v>0</v>
      </c>
      <c r="D27" s="616">
        <f aca="true" t="shared" si="8" ref="D27:U27">SUM(D24:D26)</f>
        <v>0</v>
      </c>
      <c r="E27" s="617">
        <f t="shared" si="1"/>
        <v>0</v>
      </c>
      <c r="F27" s="615">
        <f t="shared" si="8"/>
        <v>0</v>
      </c>
      <c r="G27" s="616">
        <f t="shared" si="8"/>
        <v>0</v>
      </c>
      <c r="H27" s="616">
        <f t="shared" si="8"/>
        <v>0.4</v>
      </c>
      <c r="I27" s="611">
        <f t="shared" si="8"/>
        <v>0</v>
      </c>
      <c r="J27" s="616">
        <f t="shared" si="8"/>
        <v>0.2</v>
      </c>
      <c r="K27" s="616">
        <f t="shared" si="8"/>
        <v>0</v>
      </c>
      <c r="L27" s="616">
        <f t="shared" si="8"/>
        <v>0.5</v>
      </c>
      <c r="M27" s="616">
        <f t="shared" si="8"/>
        <v>0</v>
      </c>
      <c r="N27" s="616">
        <f t="shared" si="8"/>
        <v>0</v>
      </c>
      <c r="O27" s="616">
        <f t="shared" si="8"/>
        <v>0.5</v>
      </c>
      <c r="P27" s="616">
        <f t="shared" si="8"/>
        <v>0</v>
      </c>
      <c r="Q27" s="616">
        <f t="shared" si="8"/>
        <v>0</v>
      </c>
      <c r="R27" s="617">
        <f t="shared" si="2"/>
        <v>1.6</v>
      </c>
      <c r="S27" s="618">
        <f t="shared" si="3"/>
        <v>1.6</v>
      </c>
      <c r="T27" s="619">
        <f t="shared" si="8"/>
        <v>8.82</v>
      </c>
      <c r="U27" s="618">
        <f t="shared" si="8"/>
        <v>6.609999999999999</v>
      </c>
      <c r="V27" s="58"/>
    </row>
    <row r="28" spans="1:22" ht="54" customHeight="1" thickBot="1">
      <c r="A28" s="58"/>
      <c r="B28" s="142" t="s">
        <v>245</v>
      </c>
      <c r="C28" s="455">
        <f>SUM(C9,C13,C15,C21,C23,C27)</f>
        <v>2.1</v>
      </c>
      <c r="D28" s="456">
        <f>SUM(D9,D13,D15,D21,D23,D27)</f>
        <v>0.9</v>
      </c>
      <c r="E28" s="457">
        <f t="shared" si="1"/>
        <v>3</v>
      </c>
      <c r="F28" s="455">
        <f aca="true" t="shared" si="9" ref="F28:Q28">SUM(F9,F13,F15,F21,F23,F27)</f>
        <v>0.6</v>
      </c>
      <c r="G28" s="456">
        <f t="shared" si="9"/>
        <v>9.6</v>
      </c>
      <c r="H28" s="456">
        <f t="shared" si="9"/>
        <v>9.233333333333333</v>
      </c>
      <c r="I28" s="607">
        <f t="shared" si="9"/>
        <v>6.5</v>
      </c>
      <c r="J28" s="456">
        <f t="shared" si="9"/>
        <v>60.5</v>
      </c>
      <c r="K28" s="456">
        <f t="shared" si="9"/>
        <v>0.2</v>
      </c>
      <c r="L28" s="456">
        <f t="shared" si="9"/>
        <v>45.9</v>
      </c>
      <c r="M28" s="456">
        <f t="shared" si="9"/>
        <v>6.9</v>
      </c>
      <c r="N28" s="456">
        <f t="shared" si="9"/>
        <v>0.2</v>
      </c>
      <c r="O28" s="456">
        <f t="shared" si="9"/>
        <v>0.7</v>
      </c>
      <c r="P28" s="456">
        <f t="shared" si="9"/>
        <v>6.8</v>
      </c>
      <c r="Q28" s="456">
        <f t="shared" si="9"/>
        <v>0.6000000000000001</v>
      </c>
      <c r="R28" s="457">
        <f t="shared" si="2"/>
        <v>147.73333333333332</v>
      </c>
      <c r="S28" s="620">
        <f t="shared" si="3"/>
        <v>150.73333333333332</v>
      </c>
      <c r="T28" s="621">
        <f>SUM(T9,T13,T15,T21,T23,T27)</f>
        <v>85.03818181818181</v>
      </c>
      <c r="U28" s="620">
        <f>SUM(U9,U13,U15,U21,U23,U27)</f>
        <v>74.42818181818181</v>
      </c>
      <c r="V28" s="58"/>
    </row>
  </sheetData>
  <sheetProtection/>
  <mergeCells count="7">
    <mergeCell ref="T1:U1"/>
    <mergeCell ref="C5:E5"/>
    <mergeCell ref="F5:R5"/>
    <mergeCell ref="C6:D6"/>
    <mergeCell ref="N6:P6"/>
    <mergeCell ref="J6:M6"/>
    <mergeCell ref="F6:I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1"/>
  <sheetViews>
    <sheetView showOutlineSymbols="0" view="pageBreakPreview" zoomScale="50" zoomScaleNormal="87" zoomScaleSheetLayoutView="50" zoomScalePageLayoutView="0" workbookViewId="0" topLeftCell="A1">
      <selection activeCell="E3" sqref="E3"/>
    </sheetView>
  </sheetViews>
  <sheetFormatPr defaultColWidth="10.75390625" defaultRowHeight="54" customHeight="1"/>
  <cols>
    <col min="1" max="1" width="7.375" style="1" customWidth="1"/>
    <col min="2" max="12" width="20.625" style="1" customWidth="1"/>
    <col min="13" max="13" width="1.625" style="1" customWidth="1"/>
    <col min="14" max="21" width="8.75390625" style="1" customWidth="1"/>
    <col min="22" max="16384" width="10.75390625" style="1" customWidth="1"/>
  </cols>
  <sheetData>
    <row r="1" spans="11:12" ht="54" customHeight="1">
      <c r="K1" s="823"/>
      <c r="L1" s="823"/>
    </row>
    <row r="2" spans="2:12" ht="54" customHeight="1">
      <c r="B2" s="2" t="s">
        <v>273</v>
      </c>
      <c r="C2" s="2"/>
      <c r="L2" s="70"/>
    </row>
    <row r="3" spans="2:4" ht="54" customHeight="1">
      <c r="B3" s="2"/>
      <c r="C3" s="2"/>
      <c r="D3" s="3"/>
    </row>
    <row r="4" spans="2:10" ht="54" customHeight="1" thickBot="1">
      <c r="B4" s="4" t="s">
        <v>285</v>
      </c>
      <c r="C4" s="4"/>
      <c r="J4" s="6"/>
    </row>
    <row r="5" spans="2:12" ht="54" customHeight="1">
      <c r="B5" s="105"/>
      <c r="C5" s="171" t="s">
        <v>76</v>
      </c>
      <c r="D5" s="774" t="s">
        <v>23</v>
      </c>
      <c r="E5" s="775"/>
      <c r="F5" s="775"/>
      <c r="G5" s="775"/>
      <c r="H5" s="775"/>
      <c r="I5" s="764"/>
      <c r="J5" s="30" t="s">
        <v>118</v>
      </c>
      <c r="K5" s="63" t="s">
        <v>119</v>
      </c>
      <c r="L5" s="63" t="s">
        <v>120</v>
      </c>
    </row>
    <row r="6" spans="2:12" ht="54" customHeight="1">
      <c r="B6" s="141" t="s">
        <v>0</v>
      </c>
      <c r="C6" s="55" t="s">
        <v>38</v>
      </c>
      <c r="D6" s="834" t="s">
        <v>39</v>
      </c>
      <c r="E6" s="835"/>
      <c r="F6" s="836" t="s">
        <v>38</v>
      </c>
      <c r="G6" s="836"/>
      <c r="H6" s="836"/>
      <c r="I6" s="837"/>
      <c r="J6" s="9" t="s">
        <v>49</v>
      </c>
      <c r="K6" s="64" t="s">
        <v>49</v>
      </c>
      <c r="L6" s="64" t="s">
        <v>49</v>
      </c>
    </row>
    <row r="7" spans="2:14" ht="54" customHeight="1" thickBot="1">
      <c r="B7" s="80"/>
      <c r="C7" s="27" t="s">
        <v>200</v>
      </c>
      <c r="D7" s="141" t="s">
        <v>195</v>
      </c>
      <c r="E7" s="167" t="s">
        <v>201</v>
      </c>
      <c r="F7" s="168" t="s">
        <v>196</v>
      </c>
      <c r="G7" s="169" t="s">
        <v>205</v>
      </c>
      <c r="H7" s="168" t="s">
        <v>197</v>
      </c>
      <c r="I7" s="172" t="s">
        <v>198</v>
      </c>
      <c r="J7" s="137" t="s">
        <v>134</v>
      </c>
      <c r="K7" s="64" t="s">
        <v>135</v>
      </c>
      <c r="L7" s="64" t="s">
        <v>135</v>
      </c>
      <c r="M7" s="83"/>
      <c r="N7" s="3"/>
    </row>
    <row r="8" spans="1:14" ht="54" customHeight="1">
      <c r="A8" s="85"/>
      <c r="B8" s="166" t="s">
        <v>208</v>
      </c>
      <c r="C8" s="622">
        <v>0.13</v>
      </c>
      <c r="D8" s="623"/>
      <c r="E8" s="624"/>
      <c r="F8" s="625">
        <v>1.5</v>
      </c>
      <c r="G8" s="625">
        <v>0.1</v>
      </c>
      <c r="H8" s="625">
        <v>0.1</v>
      </c>
      <c r="I8" s="626"/>
      <c r="J8" s="627">
        <f>SUM(C8:I8)</f>
        <v>1.83</v>
      </c>
      <c r="K8" s="628">
        <v>19</v>
      </c>
      <c r="L8" s="629">
        <v>14</v>
      </c>
      <c r="M8" s="110"/>
      <c r="N8" s="3"/>
    </row>
    <row r="9" spans="1:14" ht="54" customHeight="1">
      <c r="A9" s="85"/>
      <c r="B9" s="170" t="s">
        <v>217</v>
      </c>
      <c r="C9" s="630"/>
      <c r="D9" s="631"/>
      <c r="E9" s="632"/>
      <c r="F9" s="633">
        <v>0.97</v>
      </c>
      <c r="G9" s="634"/>
      <c r="H9" s="634"/>
      <c r="I9" s="635">
        <v>0.2</v>
      </c>
      <c r="J9" s="630">
        <f aca="true" t="shared" si="0" ref="J9:J31">SUM(C9:I9)</f>
        <v>1.17</v>
      </c>
      <c r="K9" s="636">
        <v>12</v>
      </c>
      <c r="L9" s="637">
        <v>11.2</v>
      </c>
      <c r="M9" s="110"/>
      <c r="N9" s="3"/>
    </row>
    <row r="10" spans="1:14" ht="54" customHeight="1">
      <c r="A10" s="85"/>
      <c r="B10" s="68" t="s">
        <v>212</v>
      </c>
      <c r="C10" s="638"/>
      <c r="D10" s="639"/>
      <c r="E10" s="640"/>
      <c r="F10" s="641">
        <v>0.3</v>
      </c>
      <c r="G10" s="641"/>
      <c r="H10" s="641"/>
      <c r="I10" s="642"/>
      <c r="J10" s="638">
        <f t="shared" si="0"/>
        <v>0.3</v>
      </c>
      <c r="K10" s="643">
        <v>3.2</v>
      </c>
      <c r="L10" s="644">
        <v>2.9</v>
      </c>
      <c r="M10" s="110"/>
      <c r="N10" s="3"/>
    </row>
    <row r="11" spans="1:14" ht="54" customHeight="1">
      <c r="A11" s="85"/>
      <c r="B11" s="68" t="s">
        <v>218</v>
      </c>
      <c r="C11" s="638">
        <v>0.1</v>
      </c>
      <c r="D11" s="639"/>
      <c r="E11" s="640"/>
      <c r="F11" s="641">
        <v>1</v>
      </c>
      <c r="G11" s="641"/>
      <c r="H11" s="641"/>
      <c r="I11" s="642"/>
      <c r="J11" s="645">
        <f t="shared" si="0"/>
        <v>1.1</v>
      </c>
      <c r="K11" s="643">
        <v>5</v>
      </c>
      <c r="L11" s="644">
        <v>4.2</v>
      </c>
      <c r="M11" s="110"/>
      <c r="N11" s="3"/>
    </row>
    <row r="12" spans="1:14" ht="54" customHeight="1" thickBot="1">
      <c r="A12" s="85"/>
      <c r="B12" s="121" t="s">
        <v>252</v>
      </c>
      <c r="C12" s="646">
        <f>SUM(C8:C11)</f>
        <v>0.23</v>
      </c>
      <c r="D12" s="647">
        <f aca="true" t="shared" si="1" ref="D12:L12">SUM(D8:D11)</f>
        <v>0</v>
      </c>
      <c r="E12" s="648">
        <f t="shared" si="1"/>
        <v>0</v>
      </c>
      <c r="F12" s="648">
        <f t="shared" si="1"/>
        <v>3.7699999999999996</v>
      </c>
      <c r="G12" s="648">
        <f t="shared" si="1"/>
        <v>0.1</v>
      </c>
      <c r="H12" s="648">
        <f t="shared" si="1"/>
        <v>0.1</v>
      </c>
      <c r="I12" s="649">
        <f t="shared" si="1"/>
        <v>0.2</v>
      </c>
      <c r="J12" s="646">
        <f t="shared" si="0"/>
        <v>4.3999999999999995</v>
      </c>
      <c r="K12" s="646">
        <f t="shared" si="1"/>
        <v>39.2</v>
      </c>
      <c r="L12" s="646">
        <f t="shared" si="1"/>
        <v>32.3</v>
      </c>
      <c r="M12" s="110"/>
      <c r="N12" s="3"/>
    </row>
    <row r="13" spans="1:14" ht="54" customHeight="1">
      <c r="A13" s="85"/>
      <c r="B13" s="204" t="s">
        <v>221</v>
      </c>
      <c r="C13" s="622" t="s">
        <v>292</v>
      </c>
      <c r="D13" s="623" t="s">
        <v>292</v>
      </c>
      <c r="E13" s="624" t="s">
        <v>292</v>
      </c>
      <c r="F13" s="625">
        <v>0.37</v>
      </c>
      <c r="G13" s="625" t="s">
        <v>292</v>
      </c>
      <c r="H13" s="625" t="s">
        <v>292</v>
      </c>
      <c r="I13" s="626" t="s">
        <v>292</v>
      </c>
      <c r="J13" s="622">
        <f t="shared" si="0"/>
        <v>0.37</v>
      </c>
      <c r="K13" s="628">
        <v>3.7</v>
      </c>
      <c r="L13" s="629">
        <v>3.7</v>
      </c>
      <c r="M13" s="110"/>
      <c r="N13" s="3"/>
    </row>
    <row r="14" spans="1:14" ht="54" customHeight="1">
      <c r="A14" s="85"/>
      <c r="B14" s="203" t="s">
        <v>302</v>
      </c>
      <c r="C14" s="638">
        <v>0.9</v>
      </c>
      <c r="D14" s="639"/>
      <c r="E14" s="640"/>
      <c r="F14" s="641">
        <v>5.36</v>
      </c>
      <c r="G14" s="641"/>
      <c r="H14" s="641"/>
      <c r="I14" s="642"/>
      <c r="J14" s="638">
        <f t="shared" si="0"/>
        <v>6.260000000000001</v>
      </c>
      <c r="K14" s="643">
        <v>61.3</v>
      </c>
      <c r="L14" s="644">
        <v>57.2</v>
      </c>
      <c r="M14" s="110">
        <v>65</v>
      </c>
      <c r="N14" s="3"/>
    </row>
    <row r="15" spans="1:14" ht="54" customHeight="1">
      <c r="A15" s="85"/>
      <c r="B15" s="68" t="s">
        <v>220</v>
      </c>
      <c r="C15" s="742"/>
      <c r="D15" s="665">
        <v>0.2</v>
      </c>
      <c r="E15" s="743"/>
      <c r="F15" s="666">
        <f>(4.5-4.4)/3+4.4</f>
        <v>4.433333333333334</v>
      </c>
      <c r="G15" s="744"/>
      <c r="H15" s="744"/>
      <c r="I15" s="745"/>
      <c r="J15" s="742">
        <f>SUM(C15:I15)</f>
        <v>4.633333333333334</v>
      </c>
      <c r="K15" s="667">
        <f>7.8/7.7*J15*2</f>
        <v>9.387012987012987</v>
      </c>
      <c r="L15" s="746">
        <f>K15</f>
        <v>9.387012987012987</v>
      </c>
      <c r="M15" s="110"/>
      <c r="N15" s="3"/>
    </row>
    <row r="16" spans="1:14" ht="54" customHeight="1">
      <c r="A16" s="85"/>
      <c r="B16" s="203" t="s">
        <v>222</v>
      </c>
      <c r="C16" s="638"/>
      <c r="D16" s="639"/>
      <c r="E16" s="640"/>
      <c r="F16" s="641">
        <v>0.4</v>
      </c>
      <c r="G16" s="641"/>
      <c r="H16" s="641"/>
      <c r="I16" s="642"/>
      <c r="J16" s="638">
        <f t="shared" si="0"/>
        <v>0.4</v>
      </c>
      <c r="K16" s="643">
        <v>0</v>
      </c>
      <c r="L16" s="644">
        <v>0</v>
      </c>
      <c r="M16" s="110"/>
      <c r="N16" s="3"/>
    </row>
    <row r="17" spans="1:14" ht="54" customHeight="1" thickBot="1">
      <c r="A17" s="85"/>
      <c r="B17" s="121" t="s">
        <v>253</v>
      </c>
      <c r="C17" s="646">
        <f>SUM(C13:C16)</f>
        <v>0.9</v>
      </c>
      <c r="D17" s="650">
        <f aca="true" t="shared" si="2" ref="D17:L17">SUM(D13:D16)</f>
        <v>0.2</v>
      </c>
      <c r="E17" s="648">
        <f t="shared" si="2"/>
        <v>0</v>
      </c>
      <c r="F17" s="648">
        <f t="shared" si="2"/>
        <v>10.563333333333334</v>
      </c>
      <c r="G17" s="648">
        <f t="shared" si="2"/>
        <v>0</v>
      </c>
      <c r="H17" s="648">
        <f t="shared" si="2"/>
        <v>0</v>
      </c>
      <c r="I17" s="651">
        <f t="shared" si="2"/>
        <v>0</v>
      </c>
      <c r="J17" s="652">
        <f t="shared" si="0"/>
        <v>11.663333333333334</v>
      </c>
      <c r="K17" s="653">
        <f t="shared" si="2"/>
        <v>74.38701298701298</v>
      </c>
      <c r="L17" s="653">
        <f t="shared" si="2"/>
        <v>70.28701298701299</v>
      </c>
      <c r="M17" s="110"/>
      <c r="N17" s="3"/>
    </row>
    <row r="18" spans="1:14" ht="54" customHeight="1">
      <c r="A18" s="85"/>
      <c r="B18" s="68" t="s">
        <v>224</v>
      </c>
      <c r="C18" s="622">
        <v>0.2</v>
      </c>
      <c r="D18" s="623"/>
      <c r="E18" s="624"/>
      <c r="F18" s="625">
        <v>0.4</v>
      </c>
      <c r="G18" s="625"/>
      <c r="H18" s="625"/>
      <c r="I18" s="626"/>
      <c r="J18" s="622">
        <f t="shared" si="0"/>
        <v>0.6000000000000001</v>
      </c>
      <c r="K18" s="628">
        <v>10</v>
      </c>
      <c r="L18" s="629">
        <v>10</v>
      </c>
      <c r="M18" s="110"/>
      <c r="N18" s="3"/>
    </row>
    <row r="19" spans="1:14" ht="54" customHeight="1">
      <c r="A19" s="85"/>
      <c r="B19" s="68" t="s">
        <v>231</v>
      </c>
      <c r="C19" s="645">
        <v>0.1</v>
      </c>
      <c r="D19" s="654"/>
      <c r="E19" s="655"/>
      <c r="F19" s="656"/>
      <c r="G19" s="656"/>
      <c r="H19" s="656"/>
      <c r="I19" s="657"/>
      <c r="J19" s="645">
        <f t="shared" si="0"/>
        <v>0.1</v>
      </c>
      <c r="K19" s="658" t="s">
        <v>287</v>
      </c>
      <c r="L19" s="659" t="s">
        <v>287</v>
      </c>
      <c r="M19" s="110"/>
      <c r="N19" s="3"/>
    </row>
    <row r="20" spans="1:14" ht="54" customHeight="1" thickBot="1">
      <c r="A20" s="85"/>
      <c r="B20" s="121" t="s">
        <v>257</v>
      </c>
      <c r="C20" s="646">
        <f>SUM(C18:C19)</f>
        <v>0.30000000000000004</v>
      </c>
      <c r="D20" s="650">
        <f aca="true" t="shared" si="3" ref="D20:L20">SUM(D18:D19)</f>
        <v>0</v>
      </c>
      <c r="E20" s="648">
        <f t="shared" si="3"/>
        <v>0</v>
      </c>
      <c r="F20" s="648">
        <f t="shared" si="3"/>
        <v>0.4</v>
      </c>
      <c r="G20" s="648">
        <f t="shared" si="3"/>
        <v>0</v>
      </c>
      <c r="H20" s="648">
        <f t="shared" si="3"/>
        <v>0</v>
      </c>
      <c r="I20" s="651">
        <f t="shared" si="3"/>
        <v>0</v>
      </c>
      <c r="J20" s="652">
        <f t="shared" si="0"/>
        <v>0.7000000000000001</v>
      </c>
      <c r="K20" s="653">
        <f t="shared" si="3"/>
        <v>10</v>
      </c>
      <c r="L20" s="653">
        <f t="shared" si="3"/>
        <v>10</v>
      </c>
      <c r="M20" s="110"/>
      <c r="N20" s="3"/>
    </row>
    <row r="21" spans="1:14" ht="54" customHeight="1">
      <c r="A21" s="85"/>
      <c r="B21" s="68" t="s">
        <v>295</v>
      </c>
      <c r="C21" s="645">
        <v>1.4</v>
      </c>
      <c r="D21" s="654">
        <v>0.1</v>
      </c>
      <c r="E21" s="655"/>
      <c r="F21" s="656">
        <v>0.85</v>
      </c>
      <c r="G21" s="656"/>
      <c r="H21" s="656"/>
      <c r="I21" s="657"/>
      <c r="J21" s="645">
        <f t="shared" si="0"/>
        <v>2.35</v>
      </c>
      <c r="K21" s="658">
        <v>13</v>
      </c>
      <c r="L21" s="659">
        <v>12</v>
      </c>
      <c r="M21" s="110"/>
      <c r="N21" s="3"/>
    </row>
    <row r="22" spans="1:14" ht="54" customHeight="1">
      <c r="A22" s="85"/>
      <c r="B22" s="106" t="s">
        <v>207</v>
      </c>
      <c r="C22" s="638">
        <v>6.5</v>
      </c>
      <c r="D22" s="639">
        <v>1</v>
      </c>
      <c r="E22" s="640">
        <v>1</v>
      </c>
      <c r="F22" s="641">
        <v>186</v>
      </c>
      <c r="G22" s="641"/>
      <c r="H22" s="641">
        <v>6</v>
      </c>
      <c r="I22" s="642"/>
      <c r="J22" s="645">
        <f t="shared" si="0"/>
        <v>200.5</v>
      </c>
      <c r="K22" s="643">
        <v>2900</v>
      </c>
      <c r="L22" s="644">
        <v>2900</v>
      </c>
      <c r="M22" s="110"/>
      <c r="N22" s="3"/>
    </row>
    <row r="23" spans="1:14" ht="54" customHeight="1">
      <c r="A23" s="85"/>
      <c r="B23" s="106" t="s">
        <v>296</v>
      </c>
      <c r="C23" s="638">
        <v>4.3</v>
      </c>
      <c r="D23" s="639">
        <v>0.5</v>
      </c>
      <c r="E23" s="640"/>
      <c r="F23" s="641">
        <v>5.4</v>
      </c>
      <c r="G23" s="641"/>
      <c r="H23" s="641"/>
      <c r="I23" s="642"/>
      <c r="J23" s="645">
        <f t="shared" si="0"/>
        <v>10.2</v>
      </c>
      <c r="K23" s="643">
        <v>120</v>
      </c>
      <c r="L23" s="644">
        <v>117.8</v>
      </c>
      <c r="M23" s="110"/>
      <c r="N23" s="3"/>
    </row>
    <row r="24" spans="1:14" ht="54" customHeight="1">
      <c r="A24" s="85"/>
      <c r="B24" s="157" t="s">
        <v>299</v>
      </c>
      <c r="C24" s="638">
        <v>0.2</v>
      </c>
      <c r="D24" s="631"/>
      <c r="E24" s="632"/>
      <c r="F24" s="660">
        <v>0.5</v>
      </c>
      <c r="G24" s="660"/>
      <c r="H24" s="660">
        <v>0.1</v>
      </c>
      <c r="I24" s="661"/>
      <c r="J24" s="638">
        <f t="shared" si="0"/>
        <v>0.7999999999999999</v>
      </c>
      <c r="K24" s="662">
        <v>10</v>
      </c>
      <c r="L24" s="637">
        <v>10</v>
      </c>
      <c r="M24" s="110"/>
      <c r="N24" s="3"/>
    </row>
    <row r="25" spans="1:14" ht="54" customHeight="1" thickBot="1">
      <c r="A25" s="85"/>
      <c r="B25" s="121" t="s">
        <v>255</v>
      </c>
      <c r="C25" s="646">
        <f>SUM(C21:C24)</f>
        <v>12.399999999999999</v>
      </c>
      <c r="D25" s="650">
        <f aca="true" t="shared" si="4" ref="D25:L25">SUM(D21:D24)</f>
        <v>1.6</v>
      </c>
      <c r="E25" s="663">
        <f t="shared" si="4"/>
        <v>1</v>
      </c>
      <c r="F25" s="663">
        <f t="shared" si="4"/>
        <v>192.75</v>
      </c>
      <c r="G25" s="663">
        <f t="shared" si="4"/>
        <v>0</v>
      </c>
      <c r="H25" s="663">
        <f t="shared" si="4"/>
        <v>6.1</v>
      </c>
      <c r="I25" s="663">
        <f t="shared" si="4"/>
        <v>0</v>
      </c>
      <c r="J25" s="646">
        <f t="shared" si="0"/>
        <v>213.85</v>
      </c>
      <c r="K25" s="646">
        <f t="shared" si="4"/>
        <v>3043</v>
      </c>
      <c r="L25" s="646">
        <f t="shared" si="4"/>
        <v>3039.8</v>
      </c>
      <c r="M25" s="110"/>
      <c r="N25" s="3"/>
    </row>
    <row r="26" spans="1:14" ht="54" customHeight="1">
      <c r="A26" s="85"/>
      <c r="B26" s="68" t="s">
        <v>241</v>
      </c>
      <c r="C26" s="622">
        <v>4.4</v>
      </c>
      <c r="D26" s="623">
        <v>1.2</v>
      </c>
      <c r="E26" s="624">
        <v>0.3</v>
      </c>
      <c r="F26" s="625"/>
      <c r="G26" s="625"/>
      <c r="H26" s="625"/>
      <c r="I26" s="626"/>
      <c r="J26" s="622">
        <f t="shared" si="0"/>
        <v>5.9</v>
      </c>
      <c r="K26" s="628">
        <v>3.4</v>
      </c>
      <c r="L26" s="629">
        <v>2.9</v>
      </c>
      <c r="M26" s="110"/>
      <c r="N26" s="3"/>
    </row>
    <row r="27" spans="1:14" ht="54" customHeight="1">
      <c r="A27" s="85"/>
      <c r="B27" s="68" t="s">
        <v>240</v>
      </c>
      <c r="C27" s="645">
        <v>0.2</v>
      </c>
      <c r="D27" s="654"/>
      <c r="E27" s="655"/>
      <c r="F27" s="656"/>
      <c r="G27" s="656"/>
      <c r="H27" s="656"/>
      <c r="I27" s="657"/>
      <c r="J27" s="645">
        <f t="shared" si="0"/>
        <v>0.2</v>
      </c>
      <c r="K27" s="658">
        <v>0.5</v>
      </c>
      <c r="L27" s="659">
        <v>0.4</v>
      </c>
      <c r="M27" s="110"/>
      <c r="N27" s="3"/>
    </row>
    <row r="28" spans="1:14" ht="54" customHeight="1">
      <c r="A28" s="85"/>
      <c r="B28" s="106" t="s">
        <v>242</v>
      </c>
      <c r="C28" s="638"/>
      <c r="D28" s="639"/>
      <c r="E28" s="640"/>
      <c r="F28" s="641">
        <v>0.3</v>
      </c>
      <c r="G28" s="641"/>
      <c r="H28" s="641"/>
      <c r="I28" s="642"/>
      <c r="J28" s="645">
        <f t="shared" si="0"/>
        <v>0.3</v>
      </c>
      <c r="K28" s="643">
        <v>0.9</v>
      </c>
      <c r="L28" s="644">
        <v>0.9</v>
      </c>
      <c r="M28" s="110"/>
      <c r="N28" s="3"/>
    </row>
    <row r="29" spans="1:14" ht="54" customHeight="1">
      <c r="A29" s="85"/>
      <c r="B29" s="106" t="s">
        <v>239</v>
      </c>
      <c r="C29" s="638">
        <v>0.3</v>
      </c>
      <c r="D29" s="639"/>
      <c r="E29" s="640"/>
      <c r="F29" s="641"/>
      <c r="G29" s="641"/>
      <c r="H29" s="641"/>
      <c r="I29" s="642"/>
      <c r="J29" s="645">
        <f t="shared" si="0"/>
        <v>0.3</v>
      </c>
      <c r="K29" s="643">
        <v>0.2</v>
      </c>
      <c r="L29" s="644">
        <v>0.1</v>
      </c>
      <c r="M29" s="110"/>
      <c r="N29" s="3"/>
    </row>
    <row r="30" spans="1:14" ht="54" customHeight="1" thickBot="1">
      <c r="A30" s="85"/>
      <c r="B30" s="121" t="s">
        <v>256</v>
      </c>
      <c r="C30" s="646">
        <f>SUM(C26:C29)</f>
        <v>4.9</v>
      </c>
      <c r="D30" s="650">
        <f aca="true" t="shared" si="5" ref="D30:L30">SUM(D26:D29)</f>
        <v>1.2</v>
      </c>
      <c r="E30" s="648">
        <f t="shared" si="5"/>
        <v>0.3</v>
      </c>
      <c r="F30" s="648">
        <f t="shared" si="5"/>
        <v>0.3</v>
      </c>
      <c r="G30" s="648">
        <f t="shared" si="5"/>
        <v>0</v>
      </c>
      <c r="H30" s="648">
        <f t="shared" si="5"/>
        <v>0</v>
      </c>
      <c r="I30" s="651">
        <f t="shared" si="5"/>
        <v>0</v>
      </c>
      <c r="J30" s="652">
        <f t="shared" si="0"/>
        <v>6.7</v>
      </c>
      <c r="K30" s="653">
        <f t="shared" si="5"/>
        <v>5</v>
      </c>
      <c r="L30" s="653">
        <f t="shared" si="5"/>
        <v>4.3</v>
      </c>
      <c r="M30" s="110"/>
      <c r="N30" s="3"/>
    </row>
    <row r="31" spans="1:14" ht="54" customHeight="1" thickBot="1">
      <c r="A31" s="85"/>
      <c r="B31" s="121" t="s">
        <v>245</v>
      </c>
      <c r="C31" s="646">
        <f aca="true" t="shared" si="6" ref="C31:I31">SUM(C12,C17,C20,C25,C30)</f>
        <v>18.729999999999997</v>
      </c>
      <c r="D31" s="650">
        <f t="shared" si="6"/>
        <v>3</v>
      </c>
      <c r="E31" s="663">
        <f t="shared" si="6"/>
        <v>1.3</v>
      </c>
      <c r="F31" s="663">
        <f t="shared" si="6"/>
        <v>207.78333333333336</v>
      </c>
      <c r="G31" s="663">
        <f t="shared" si="6"/>
        <v>0.1</v>
      </c>
      <c r="H31" s="663">
        <f t="shared" si="6"/>
        <v>6.199999999999999</v>
      </c>
      <c r="I31" s="649">
        <f t="shared" si="6"/>
        <v>0.2</v>
      </c>
      <c r="J31" s="646">
        <f t="shared" si="0"/>
        <v>237.31333333333333</v>
      </c>
      <c r="K31" s="646">
        <f>SUM(K12,K17,K20,K25,K30)</f>
        <v>3171.587012987013</v>
      </c>
      <c r="L31" s="646">
        <f>SUM(L12,L17,L20,L25,L30)</f>
        <v>3156.6870129870135</v>
      </c>
      <c r="M31" s="110"/>
      <c r="N31" s="3"/>
    </row>
  </sheetData>
  <sheetProtection/>
  <mergeCells count="4">
    <mergeCell ref="K1:L1"/>
    <mergeCell ref="D6:E6"/>
    <mergeCell ref="D5:I5"/>
    <mergeCell ref="F6:I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29"/>
  <sheetViews>
    <sheetView showOutlineSymbols="0" view="pageBreakPreview" zoomScale="50" zoomScaleNormal="40" zoomScaleSheetLayoutView="50" zoomScalePageLayoutView="0" workbookViewId="0" topLeftCell="A1">
      <selection activeCell="G4" sqref="G4"/>
    </sheetView>
  </sheetViews>
  <sheetFormatPr defaultColWidth="10.75390625" defaultRowHeight="54" customHeight="1"/>
  <cols>
    <col min="1" max="1" width="7.625" style="1" customWidth="1"/>
    <col min="2" max="2" width="20.625" style="1" customWidth="1"/>
    <col min="3" max="32" width="12.625" style="1" customWidth="1"/>
    <col min="33" max="35" width="17.875" style="1" customWidth="1"/>
    <col min="36" max="36" width="1.75390625" style="1" customWidth="1"/>
    <col min="37" max="16384" width="10.75390625" style="1" customWidth="1"/>
  </cols>
  <sheetData>
    <row r="1" spans="34:36" ht="54" customHeight="1">
      <c r="AH1" s="760"/>
      <c r="AI1" s="760"/>
      <c r="AJ1" s="23"/>
    </row>
    <row r="2" spans="2:35" ht="54" customHeight="1">
      <c r="B2" s="2" t="s">
        <v>273</v>
      </c>
      <c r="AI2" s="70"/>
    </row>
    <row r="3" ht="54" customHeight="1">
      <c r="B3" s="2"/>
    </row>
    <row r="4" spans="2:33" ht="54" customHeight="1" thickBot="1">
      <c r="B4" s="4" t="s">
        <v>274</v>
      </c>
      <c r="C4" s="5"/>
      <c r="AG4" s="6"/>
    </row>
    <row r="5" spans="2:35" ht="54" customHeight="1">
      <c r="B5" s="30"/>
      <c r="C5" s="752" t="s">
        <v>260</v>
      </c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4"/>
      <c r="O5" s="762" t="s">
        <v>261</v>
      </c>
      <c r="P5" s="763"/>
      <c r="Q5" s="763"/>
      <c r="R5" s="763"/>
      <c r="S5" s="763"/>
      <c r="T5" s="763"/>
      <c r="U5" s="763"/>
      <c r="V5" s="763"/>
      <c r="W5" s="763"/>
      <c r="X5" s="763"/>
      <c r="Y5" s="763"/>
      <c r="Z5" s="763"/>
      <c r="AA5" s="763"/>
      <c r="AB5" s="763"/>
      <c r="AC5" s="763"/>
      <c r="AD5" s="763"/>
      <c r="AE5" s="763"/>
      <c r="AF5" s="764"/>
      <c r="AG5" s="30" t="s">
        <v>118</v>
      </c>
      <c r="AH5" s="63" t="s">
        <v>119</v>
      </c>
      <c r="AI5" s="63" t="s">
        <v>120</v>
      </c>
    </row>
    <row r="6" spans="2:35" ht="54" customHeight="1">
      <c r="B6" s="9" t="s">
        <v>0</v>
      </c>
      <c r="C6" s="758" t="s">
        <v>18</v>
      </c>
      <c r="D6" s="759"/>
      <c r="E6" s="759"/>
      <c r="F6" s="759"/>
      <c r="G6" s="759"/>
      <c r="H6" s="759"/>
      <c r="I6" s="755" t="s">
        <v>19</v>
      </c>
      <c r="J6" s="756"/>
      <c r="K6" s="756"/>
      <c r="L6" s="757"/>
      <c r="M6" s="115" t="s">
        <v>25</v>
      </c>
      <c r="N6" s="8"/>
      <c r="O6" s="765" t="s">
        <v>136</v>
      </c>
      <c r="P6" s="756"/>
      <c r="Q6" s="761"/>
      <c r="R6" s="755" t="s">
        <v>28</v>
      </c>
      <c r="S6" s="756"/>
      <c r="T6" s="756"/>
      <c r="U6" s="756"/>
      <c r="V6" s="756"/>
      <c r="W6" s="761"/>
      <c r="X6" s="755" t="s">
        <v>25</v>
      </c>
      <c r="Y6" s="756"/>
      <c r="Z6" s="756"/>
      <c r="AA6" s="756"/>
      <c r="AB6" s="761"/>
      <c r="AC6" s="766" t="s">
        <v>29</v>
      </c>
      <c r="AD6" s="766"/>
      <c r="AE6" s="767"/>
      <c r="AF6" s="8"/>
      <c r="AG6" s="9" t="s">
        <v>49</v>
      </c>
      <c r="AH6" s="64" t="s">
        <v>49</v>
      </c>
      <c r="AI6" s="64" t="s">
        <v>49</v>
      </c>
    </row>
    <row r="7" spans="2:35" ht="54" customHeight="1" thickBot="1">
      <c r="B7" s="32"/>
      <c r="C7" s="104" t="s">
        <v>199</v>
      </c>
      <c r="D7" s="10" t="s">
        <v>84</v>
      </c>
      <c r="E7" s="11" t="s">
        <v>85</v>
      </c>
      <c r="F7" s="12" t="s">
        <v>86</v>
      </c>
      <c r="G7" s="13" t="s">
        <v>87</v>
      </c>
      <c r="H7" s="13" t="s">
        <v>88</v>
      </c>
      <c r="I7" s="14" t="s">
        <v>89</v>
      </c>
      <c r="J7" s="14" t="s">
        <v>90</v>
      </c>
      <c r="K7" s="13" t="s">
        <v>91</v>
      </c>
      <c r="L7" s="13" t="s">
        <v>123</v>
      </c>
      <c r="M7" s="11" t="s">
        <v>42</v>
      </c>
      <c r="N7" s="15" t="s">
        <v>26</v>
      </c>
      <c r="O7" s="144" t="s">
        <v>92</v>
      </c>
      <c r="P7" s="16" t="s">
        <v>67</v>
      </c>
      <c r="Q7" s="95" t="s">
        <v>115</v>
      </c>
      <c r="R7" s="13" t="s">
        <v>93</v>
      </c>
      <c r="S7" s="18" t="s">
        <v>94</v>
      </c>
      <c r="T7" s="18" t="s">
        <v>95</v>
      </c>
      <c r="U7" s="18" t="s">
        <v>124</v>
      </c>
      <c r="V7" s="18" t="s">
        <v>125</v>
      </c>
      <c r="W7" s="50" t="s">
        <v>137</v>
      </c>
      <c r="X7" s="18" t="s">
        <v>96</v>
      </c>
      <c r="Y7" s="116" t="s">
        <v>97</v>
      </c>
      <c r="Z7" s="18" t="s">
        <v>98</v>
      </c>
      <c r="AA7" s="18" t="s">
        <v>99</v>
      </c>
      <c r="AB7" s="19" t="s">
        <v>100</v>
      </c>
      <c r="AC7" s="19" t="s">
        <v>101</v>
      </c>
      <c r="AD7" s="19" t="s">
        <v>102</v>
      </c>
      <c r="AE7" s="50" t="s">
        <v>137</v>
      </c>
      <c r="AF7" s="111" t="s">
        <v>6</v>
      </c>
      <c r="AG7" s="37" t="s">
        <v>138</v>
      </c>
      <c r="AH7" s="65" t="s">
        <v>139</v>
      </c>
      <c r="AI7" s="65" t="s">
        <v>139</v>
      </c>
    </row>
    <row r="8" spans="2:35" ht="54" customHeight="1">
      <c r="B8" s="145" t="s">
        <v>208</v>
      </c>
      <c r="C8" s="276">
        <v>0.6</v>
      </c>
      <c r="D8" s="277"/>
      <c r="E8" s="277">
        <v>0.9</v>
      </c>
      <c r="F8" s="277">
        <v>0.1</v>
      </c>
      <c r="G8" s="277"/>
      <c r="H8" s="277">
        <v>0.1</v>
      </c>
      <c r="I8" s="277"/>
      <c r="J8" s="277"/>
      <c r="K8" s="277"/>
      <c r="L8" s="277">
        <v>0.42</v>
      </c>
      <c r="M8" s="277"/>
      <c r="N8" s="278">
        <f aca="true" t="shared" si="0" ref="N8:N29">SUM(C8:M8)</f>
        <v>2.12</v>
      </c>
      <c r="O8" s="279"/>
      <c r="P8" s="280"/>
      <c r="Q8" s="281"/>
      <c r="R8" s="280">
        <v>2</v>
      </c>
      <c r="S8" s="281">
        <v>2</v>
      </c>
      <c r="T8" s="281"/>
      <c r="U8" s="281"/>
      <c r="V8" s="281"/>
      <c r="W8" s="281"/>
      <c r="X8" s="281"/>
      <c r="Y8" s="281"/>
      <c r="Z8" s="281"/>
      <c r="AA8" s="281"/>
      <c r="AB8" s="281">
        <v>0.1</v>
      </c>
      <c r="AC8" s="281">
        <v>0.1</v>
      </c>
      <c r="AD8" s="281">
        <v>0.2</v>
      </c>
      <c r="AE8" s="281"/>
      <c r="AF8" s="278">
        <f>SUM(O8:AE8)</f>
        <v>4.3999999999999995</v>
      </c>
      <c r="AG8" s="282">
        <f>SUM(N8,AF8)</f>
        <v>6.52</v>
      </c>
      <c r="AH8" s="283">
        <v>128.7</v>
      </c>
      <c r="AI8" s="283">
        <v>128.7</v>
      </c>
    </row>
    <row r="9" spans="2:35" ht="54" customHeight="1">
      <c r="B9" s="147" t="s">
        <v>209</v>
      </c>
      <c r="C9" s="284">
        <v>0.07</v>
      </c>
      <c r="D9" s="285"/>
      <c r="E9" s="285">
        <v>0.05</v>
      </c>
      <c r="F9" s="285"/>
      <c r="G9" s="285"/>
      <c r="H9" s="285"/>
      <c r="I9" s="286"/>
      <c r="J9" s="286"/>
      <c r="K9" s="285"/>
      <c r="L9" s="285">
        <v>0.2</v>
      </c>
      <c r="M9" s="285"/>
      <c r="N9" s="278">
        <f t="shared" si="0"/>
        <v>0.32</v>
      </c>
      <c r="O9" s="284"/>
      <c r="P9" s="287"/>
      <c r="Q9" s="288"/>
      <c r="R9" s="285">
        <v>0.32</v>
      </c>
      <c r="S9" s="289">
        <v>1.21</v>
      </c>
      <c r="T9" s="289"/>
      <c r="U9" s="289"/>
      <c r="V9" s="289"/>
      <c r="W9" s="290"/>
      <c r="X9" s="289"/>
      <c r="Y9" s="291"/>
      <c r="Z9" s="289"/>
      <c r="AA9" s="289"/>
      <c r="AB9" s="289"/>
      <c r="AC9" s="289"/>
      <c r="AD9" s="289"/>
      <c r="AE9" s="290"/>
      <c r="AF9" s="278">
        <f aca="true" t="shared" si="1" ref="AF9:AF29">SUM(O9:AE9)</f>
        <v>1.53</v>
      </c>
      <c r="AG9" s="292">
        <f aca="true" t="shared" si="2" ref="AG9:AG28">SUM(N9,AF9)</f>
        <v>1.85</v>
      </c>
      <c r="AH9" s="293">
        <v>7.1</v>
      </c>
      <c r="AI9" s="293">
        <v>7.1</v>
      </c>
    </row>
    <row r="10" spans="2:35" ht="54" customHeight="1">
      <c r="B10" s="147" t="s">
        <v>210</v>
      </c>
      <c r="C10" s="294">
        <v>1.4</v>
      </c>
      <c r="D10" s="295"/>
      <c r="E10" s="295">
        <v>5.1</v>
      </c>
      <c r="F10" s="295"/>
      <c r="G10" s="295">
        <v>0.8</v>
      </c>
      <c r="H10" s="295">
        <v>0.3</v>
      </c>
      <c r="I10" s="295">
        <v>4.7</v>
      </c>
      <c r="J10" s="295"/>
      <c r="K10" s="295"/>
      <c r="L10" s="295">
        <v>2.1</v>
      </c>
      <c r="M10" s="295">
        <v>0.8</v>
      </c>
      <c r="N10" s="278">
        <f t="shared" si="0"/>
        <v>15.200000000000001</v>
      </c>
      <c r="O10" s="294"/>
      <c r="P10" s="295"/>
      <c r="Q10" s="296">
        <v>0.3</v>
      </c>
      <c r="R10" s="295"/>
      <c r="S10" s="296">
        <v>10</v>
      </c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78">
        <f t="shared" si="1"/>
        <v>10.3</v>
      </c>
      <c r="AG10" s="292">
        <f t="shared" si="2"/>
        <v>25.5</v>
      </c>
      <c r="AH10" s="297">
        <v>193.8</v>
      </c>
      <c r="AI10" s="297">
        <v>178.3</v>
      </c>
    </row>
    <row r="11" spans="2:35" ht="54" customHeight="1">
      <c r="B11" s="79" t="s">
        <v>211</v>
      </c>
      <c r="C11" s="294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78">
        <f t="shared" si="0"/>
        <v>0</v>
      </c>
      <c r="O11" s="294"/>
      <c r="P11" s="295"/>
      <c r="Q11" s="296"/>
      <c r="R11" s="295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>
        <v>0.1</v>
      </c>
      <c r="AF11" s="278">
        <f t="shared" si="1"/>
        <v>0.1</v>
      </c>
      <c r="AG11" s="292">
        <f t="shared" si="2"/>
        <v>0.1</v>
      </c>
      <c r="AH11" s="297">
        <v>1.75</v>
      </c>
      <c r="AI11" s="297">
        <v>1.75</v>
      </c>
    </row>
    <row r="12" spans="1:35" ht="54" customHeight="1">
      <c r="A12" s="74"/>
      <c r="B12" s="148" t="s">
        <v>212</v>
      </c>
      <c r="C12" s="294">
        <v>0.2</v>
      </c>
      <c r="D12" s="295"/>
      <c r="E12" s="295">
        <v>1.8</v>
      </c>
      <c r="F12" s="295"/>
      <c r="G12" s="295">
        <v>2.3</v>
      </c>
      <c r="H12" s="295"/>
      <c r="I12" s="295"/>
      <c r="J12" s="295"/>
      <c r="K12" s="295"/>
      <c r="L12" s="295">
        <v>1.5</v>
      </c>
      <c r="M12" s="295"/>
      <c r="N12" s="278">
        <f t="shared" si="0"/>
        <v>5.8</v>
      </c>
      <c r="O12" s="294"/>
      <c r="P12" s="295"/>
      <c r="Q12" s="296"/>
      <c r="R12" s="295">
        <v>4.5</v>
      </c>
      <c r="S12" s="296">
        <v>15.8</v>
      </c>
      <c r="T12" s="296"/>
      <c r="U12" s="296"/>
      <c r="V12" s="296">
        <v>0.1</v>
      </c>
      <c r="W12" s="296"/>
      <c r="X12" s="296"/>
      <c r="Y12" s="296"/>
      <c r="Z12" s="296"/>
      <c r="AA12" s="296"/>
      <c r="AB12" s="296"/>
      <c r="AC12" s="296">
        <v>0.6</v>
      </c>
      <c r="AD12" s="296">
        <v>0.4</v>
      </c>
      <c r="AE12" s="296"/>
      <c r="AF12" s="278">
        <f t="shared" si="1"/>
        <v>21.400000000000002</v>
      </c>
      <c r="AG12" s="292">
        <f t="shared" si="2"/>
        <v>27.200000000000003</v>
      </c>
      <c r="AH12" s="297">
        <v>260</v>
      </c>
      <c r="AI12" s="297">
        <v>241</v>
      </c>
    </row>
    <row r="13" spans="1:35" ht="54" customHeight="1">
      <c r="A13" s="74"/>
      <c r="B13" s="147" t="s">
        <v>213</v>
      </c>
      <c r="C13" s="294">
        <v>0.2</v>
      </c>
      <c r="D13" s="295"/>
      <c r="E13" s="295">
        <v>0.5</v>
      </c>
      <c r="F13" s="295"/>
      <c r="G13" s="295">
        <v>0.3</v>
      </c>
      <c r="H13" s="295"/>
      <c r="I13" s="295"/>
      <c r="J13" s="295"/>
      <c r="K13" s="295"/>
      <c r="L13" s="295">
        <v>0.7</v>
      </c>
      <c r="M13" s="295"/>
      <c r="N13" s="278">
        <f t="shared" si="0"/>
        <v>1.7</v>
      </c>
      <c r="O13" s="294"/>
      <c r="P13" s="295"/>
      <c r="Q13" s="296"/>
      <c r="R13" s="295">
        <v>1.3</v>
      </c>
      <c r="S13" s="296">
        <v>4.2</v>
      </c>
      <c r="T13" s="296"/>
      <c r="U13" s="296"/>
      <c r="V13" s="296"/>
      <c r="W13" s="296"/>
      <c r="X13" s="296"/>
      <c r="Y13" s="296"/>
      <c r="Z13" s="296"/>
      <c r="AA13" s="296"/>
      <c r="AB13" s="296"/>
      <c r="AC13" s="296">
        <v>0.5</v>
      </c>
      <c r="AD13" s="296">
        <v>0.1</v>
      </c>
      <c r="AE13" s="296"/>
      <c r="AF13" s="278">
        <f t="shared" si="1"/>
        <v>6.1</v>
      </c>
      <c r="AG13" s="292">
        <f t="shared" si="2"/>
        <v>7.8</v>
      </c>
      <c r="AH13" s="297">
        <v>84.6</v>
      </c>
      <c r="AI13" s="297">
        <v>74.9</v>
      </c>
    </row>
    <row r="14" spans="2:35" ht="54" customHeight="1" thickBot="1">
      <c r="B14" s="205" t="s">
        <v>252</v>
      </c>
      <c r="C14" s="298">
        <f>SUM(C8:C13)</f>
        <v>2.47</v>
      </c>
      <c r="D14" s="299">
        <f aca="true" t="shared" si="3" ref="D14:AI14">SUM(D8:D13)</f>
        <v>0</v>
      </c>
      <c r="E14" s="299">
        <f t="shared" si="3"/>
        <v>8.35</v>
      </c>
      <c r="F14" s="299">
        <f t="shared" si="3"/>
        <v>0.1</v>
      </c>
      <c r="G14" s="299">
        <f t="shared" si="3"/>
        <v>3.3999999999999995</v>
      </c>
      <c r="H14" s="299">
        <f t="shared" si="3"/>
        <v>0.4</v>
      </c>
      <c r="I14" s="299">
        <f t="shared" si="3"/>
        <v>4.7</v>
      </c>
      <c r="J14" s="299">
        <f t="shared" si="3"/>
        <v>0</v>
      </c>
      <c r="K14" s="299">
        <f t="shared" si="3"/>
        <v>0</v>
      </c>
      <c r="L14" s="299">
        <f t="shared" si="3"/>
        <v>4.920000000000001</v>
      </c>
      <c r="M14" s="299">
        <f t="shared" si="3"/>
        <v>0.8</v>
      </c>
      <c r="N14" s="300">
        <f t="shared" si="0"/>
        <v>25.140000000000004</v>
      </c>
      <c r="O14" s="299">
        <f t="shared" si="3"/>
        <v>0</v>
      </c>
      <c r="P14" s="299">
        <f t="shared" si="3"/>
        <v>0</v>
      </c>
      <c r="Q14" s="299">
        <f t="shared" si="3"/>
        <v>0.3</v>
      </c>
      <c r="R14" s="299">
        <f t="shared" si="3"/>
        <v>8.120000000000001</v>
      </c>
      <c r="S14" s="299">
        <f t="shared" si="3"/>
        <v>33.21</v>
      </c>
      <c r="T14" s="299">
        <f t="shared" si="3"/>
        <v>0</v>
      </c>
      <c r="U14" s="299">
        <f t="shared" si="3"/>
        <v>0</v>
      </c>
      <c r="V14" s="299">
        <f t="shared" si="3"/>
        <v>0.1</v>
      </c>
      <c r="W14" s="299">
        <f t="shared" si="3"/>
        <v>0</v>
      </c>
      <c r="X14" s="299">
        <f t="shared" si="3"/>
        <v>0</v>
      </c>
      <c r="Y14" s="299">
        <f t="shared" si="3"/>
        <v>0</v>
      </c>
      <c r="Z14" s="299">
        <f t="shared" si="3"/>
        <v>0</v>
      </c>
      <c r="AA14" s="299">
        <f t="shared" si="3"/>
        <v>0</v>
      </c>
      <c r="AB14" s="299">
        <f t="shared" si="3"/>
        <v>0.1</v>
      </c>
      <c r="AC14" s="299">
        <f t="shared" si="3"/>
        <v>1.2</v>
      </c>
      <c r="AD14" s="299">
        <f t="shared" si="3"/>
        <v>0.7000000000000001</v>
      </c>
      <c r="AE14" s="299">
        <f t="shared" si="3"/>
        <v>0.1</v>
      </c>
      <c r="AF14" s="301">
        <f t="shared" si="1"/>
        <v>43.83000000000001</v>
      </c>
      <c r="AG14" s="302">
        <f t="shared" si="2"/>
        <v>68.97000000000001</v>
      </c>
      <c r="AH14" s="302">
        <f t="shared" si="3"/>
        <v>675.95</v>
      </c>
      <c r="AI14" s="302">
        <f t="shared" si="3"/>
        <v>631.75</v>
      </c>
    </row>
    <row r="15" spans="1:35" ht="54" customHeight="1">
      <c r="A15" s="74"/>
      <c r="B15" s="146" t="s">
        <v>219</v>
      </c>
      <c r="C15" s="276"/>
      <c r="D15" s="277"/>
      <c r="E15" s="277"/>
      <c r="F15" s="277"/>
      <c r="G15" s="277"/>
      <c r="H15" s="277"/>
      <c r="I15" s="277"/>
      <c r="J15" s="277">
        <v>0.5</v>
      </c>
      <c r="K15" s="277"/>
      <c r="L15" s="277"/>
      <c r="M15" s="277"/>
      <c r="N15" s="303">
        <f t="shared" si="0"/>
        <v>0.5</v>
      </c>
      <c r="O15" s="276"/>
      <c r="P15" s="277"/>
      <c r="Q15" s="304"/>
      <c r="R15" s="277"/>
      <c r="S15" s="304">
        <v>2.2</v>
      </c>
      <c r="T15" s="304"/>
      <c r="U15" s="304"/>
      <c r="V15" s="304"/>
      <c r="W15" s="304"/>
      <c r="X15" s="304"/>
      <c r="Y15" s="304"/>
      <c r="Z15" s="304"/>
      <c r="AA15" s="304"/>
      <c r="AB15" s="304">
        <v>0.2</v>
      </c>
      <c r="AC15" s="304"/>
      <c r="AD15" s="304"/>
      <c r="AE15" s="304"/>
      <c r="AF15" s="303">
        <f t="shared" si="1"/>
        <v>2.4000000000000004</v>
      </c>
      <c r="AG15" s="282">
        <f>AF15+N15</f>
        <v>2.9000000000000004</v>
      </c>
      <c r="AH15" s="283">
        <v>39.2</v>
      </c>
      <c r="AI15" s="283">
        <v>31.8</v>
      </c>
    </row>
    <row r="16" spans="1:35" ht="54" customHeight="1">
      <c r="A16" s="85"/>
      <c r="B16" s="92" t="s">
        <v>220</v>
      </c>
      <c r="C16" s="671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309">
        <f t="shared" si="0"/>
        <v>0</v>
      </c>
      <c r="O16" s="671"/>
      <c r="P16" s="672"/>
      <c r="Q16" s="664"/>
      <c r="R16" s="672"/>
      <c r="S16" s="664"/>
      <c r="T16" s="664"/>
      <c r="U16" s="664"/>
      <c r="V16" s="664"/>
      <c r="W16" s="664"/>
      <c r="X16" s="664"/>
      <c r="Y16" s="664"/>
      <c r="Z16" s="664"/>
      <c r="AA16" s="664"/>
      <c r="AB16" s="664">
        <v>0.1</v>
      </c>
      <c r="AC16" s="664"/>
      <c r="AD16" s="664"/>
      <c r="AE16" s="664"/>
      <c r="AF16" s="673">
        <f>SUM(O16:AE16)</f>
        <v>0.1</v>
      </c>
      <c r="AG16" s="674">
        <f>AF16+N16</f>
        <v>0.1</v>
      </c>
      <c r="AH16" s="675">
        <v>1.9</v>
      </c>
      <c r="AI16" s="675">
        <v>1.8</v>
      </c>
    </row>
    <row r="17" spans="2:35" ht="54" customHeight="1" thickBot="1">
      <c r="B17" s="149" t="s">
        <v>253</v>
      </c>
      <c r="C17" s="668">
        <f>SUM(C15:C16)</f>
        <v>0</v>
      </c>
      <c r="D17" s="306">
        <f aca="true" t="shared" si="4" ref="D17:M17">SUM(D15:D16)</f>
        <v>0</v>
      </c>
      <c r="E17" s="306">
        <f t="shared" si="4"/>
        <v>0</v>
      </c>
      <c r="F17" s="306">
        <f t="shared" si="4"/>
        <v>0</v>
      </c>
      <c r="G17" s="306">
        <f t="shared" si="4"/>
        <v>0</v>
      </c>
      <c r="H17" s="306">
        <f t="shared" si="4"/>
        <v>0</v>
      </c>
      <c r="I17" s="306">
        <f t="shared" si="4"/>
        <v>0</v>
      </c>
      <c r="J17" s="306">
        <f t="shared" si="4"/>
        <v>0.5</v>
      </c>
      <c r="K17" s="306">
        <f t="shared" si="4"/>
        <v>0</v>
      </c>
      <c r="L17" s="306">
        <f t="shared" si="4"/>
        <v>0</v>
      </c>
      <c r="M17" s="669">
        <f t="shared" si="4"/>
        <v>0</v>
      </c>
      <c r="N17" s="307">
        <f t="shared" si="0"/>
        <v>0.5</v>
      </c>
      <c r="O17" s="668">
        <f>SUM(O15:O16)</f>
        <v>0</v>
      </c>
      <c r="P17" s="306">
        <f aca="true" t="shared" si="5" ref="P17:AE17">SUM(P15:P16)</f>
        <v>0</v>
      </c>
      <c r="Q17" s="306">
        <f t="shared" si="5"/>
        <v>0</v>
      </c>
      <c r="R17" s="306">
        <f t="shared" si="5"/>
        <v>0</v>
      </c>
      <c r="S17" s="306">
        <f t="shared" si="5"/>
        <v>2.2</v>
      </c>
      <c r="T17" s="306">
        <f t="shared" si="5"/>
        <v>0</v>
      </c>
      <c r="U17" s="306">
        <f t="shared" si="5"/>
        <v>0</v>
      </c>
      <c r="V17" s="306">
        <f t="shared" si="5"/>
        <v>0</v>
      </c>
      <c r="W17" s="306">
        <f t="shared" si="5"/>
        <v>0</v>
      </c>
      <c r="X17" s="306">
        <f t="shared" si="5"/>
        <v>0</v>
      </c>
      <c r="Y17" s="306">
        <f t="shared" si="5"/>
        <v>0</v>
      </c>
      <c r="Z17" s="306">
        <f t="shared" si="5"/>
        <v>0</v>
      </c>
      <c r="AA17" s="306">
        <f t="shared" si="5"/>
        <v>0</v>
      </c>
      <c r="AB17" s="306">
        <f t="shared" si="5"/>
        <v>0.30000000000000004</v>
      </c>
      <c r="AC17" s="306">
        <f t="shared" si="5"/>
        <v>0</v>
      </c>
      <c r="AD17" s="306">
        <f t="shared" si="5"/>
        <v>0</v>
      </c>
      <c r="AE17" s="306">
        <f t="shared" si="5"/>
        <v>0</v>
      </c>
      <c r="AF17" s="670">
        <f t="shared" si="1"/>
        <v>2.5</v>
      </c>
      <c r="AG17" s="308">
        <f t="shared" si="2"/>
        <v>3</v>
      </c>
      <c r="AH17" s="308">
        <f>SUM(AH15:AH15)</f>
        <v>39.2</v>
      </c>
      <c r="AI17" s="308">
        <f>SUM(AI15:AI15)</f>
        <v>31.8</v>
      </c>
    </row>
    <row r="18" spans="2:35" ht="54" customHeight="1">
      <c r="B18" s="145" t="s">
        <v>244</v>
      </c>
      <c r="C18" s="276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303">
        <f t="shared" si="0"/>
        <v>0</v>
      </c>
      <c r="O18" s="279"/>
      <c r="P18" s="280"/>
      <c r="Q18" s="281"/>
      <c r="R18" s="280">
        <v>5</v>
      </c>
      <c r="S18" s="281">
        <v>5</v>
      </c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309">
        <f t="shared" si="1"/>
        <v>10</v>
      </c>
      <c r="AG18" s="282">
        <f t="shared" si="2"/>
        <v>10</v>
      </c>
      <c r="AH18" s="283">
        <v>150</v>
      </c>
      <c r="AI18" s="283">
        <v>120</v>
      </c>
    </row>
    <row r="19" spans="1:35" ht="54" customHeight="1">
      <c r="A19" s="74"/>
      <c r="B19" s="189" t="s">
        <v>288</v>
      </c>
      <c r="C19" s="294">
        <v>0</v>
      </c>
      <c r="D19" s="295"/>
      <c r="E19" s="295">
        <v>1.2</v>
      </c>
      <c r="F19" s="295"/>
      <c r="G19" s="295">
        <v>0.1</v>
      </c>
      <c r="H19" s="295"/>
      <c r="I19" s="295"/>
      <c r="J19" s="295"/>
      <c r="K19" s="295"/>
      <c r="L19" s="295">
        <v>0</v>
      </c>
      <c r="M19" s="295"/>
      <c r="N19" s="278">
        <f t="shared" si="0"/>
        <v>1.3</v>
      </c>
      <c r="O19" s="294"/>
      <c r="P19" s="295"/>
      <c r="Q19" s="296"/>
      <c r="R19" s="295">
        <v>0.8</v>
      </c>
      <c r="S19" s="296">
        <v>0.8</v>
      </c>
      <c r="T19" s="296"/>
      <c r="U19" s="296"/>
      <c r="V19" s="296">
        <v>0.1</v>
      </c>
      <c r="W19" s="296"/>
      <c r="X19" s="296"/>
      <c r="Y19" s="296"/>
      <c r="Z19" s="296"/>
      <c r="AA19" s="296">
        <v>0.1</v>
      </c>
      <c r="AB19" s="296">
        <v>0.1</v>
      </c>
      <c r="AC19" s="296"/>
      <c r="AD19" s="296"/>
      <c r="AE19" s="296"/>
      <c r="AF19" s="278">
        <f t="shared" si="1"/>
        <v>1.9000000000000004</v>
      </c>
      <c r="AG19" s="292">
        <f t="shared" si="2"/>
        <v>3.2</v>
      </c>
      <c r="AH19" s="297">
        <v>3.9</v>
      </c>
      <c r="AI19" s="297">
        <v>3.9</v>
      </c>
    </row>
    <row r="20" spans="2:35" ht="54" customHeight="1" thickBot="1">
      <c r="B20" s="149" t="s">
        <v>254</v>
      </c>
      <c r="C20" s="305">
        <f>SUM(C18:C19)</f>
        <v>0</v>
      </c>
      <c r="D20" s="306">
        <f aca="true" t="shared" si="6" ref="D20:AI20">SUM(D18:D19)</f>
        <v>0</v>
      </c>
      <c r="E20" s="306">
        <f t="shared" si="6"/>
        <v>1.2</v>
      </c>
      <c r="F20" s="306">
        <f t="shared" si="6"/>
        <v>0</v>
      </c>
      <c r="G20" s="306">
        <f t="shared" si="6"/>
        <v>0.1</v>
      </c>
      <c r="H20" s="306">
        <f t="shared" si="6"/>
        <v>0</v>
      </c>
      <c r="I20" s="306">
        <f t="shared" si="6"/>
        <v>0</v>
      </c>
      <c r="J20" s="306">
        <f t="shared" si="6"/>
        <v>0</v>
      </c>
      <c r="K20" s="306">
        <f t="shared" si="6"/>
        <v>0</v>
      </c>
      <c r="L20" s="306">
        <f t="shared" si="6"/>
        <v>0</v>
      </c>
      <c r="M20" s="306">
        <f t="shared" si="6"/>
        <v>0</v>
      </c>
      <c r="N20" s="307">
        <f t="shared" si="0"/>
        <v>1.3</v>
      </c>
      <c r="O20" s="305">
        <f t="shared" si="6"/>
        <v>0</v>
      </c>
      <c r="P20" s="306">
        <f t="shared" si="6"/>
        <v>0</v>
      </c>
      <c r="Q20" s="306">
        <f t="shared" si="6"/>
        <v>0</v>
      </c>
      <c r="R20" s="306">
        <f t="shared" si="6"/>
        <v>5.8</v>
      </c>
      <c r="S20" s="306">
        <f t="shared" si="6"/>
        <v>5.8</v>
      </c>
      <c r="T20" s="306">
        <f t="shared" si="6"/>
        <v>0</v>
      </c>
      <c r="U20" s="306">
        <f t="shared" si="6"/>
        <v>0</v>
      </c>
      <c r="V20" s="306">
        <f t="shared" si="6"/>
        <v>0.1</v>
      </c>
      <c r="W20" s="306">
        <f t="shared" si="6"/>
        <v>0</v>
      </c>
      <c r="X20" s="306">
        <f t="shared" si="6"/>
        <v>0</v>
      </c>
      <c r="Y20" s="306">
        <f t="shared" si="6"/>
        <v>0</v>
      </c>
      <c r="Z20" s="306">
        <f t="shared" si="6"/>
        <v>0</v>
      </c>
      <c r="AA20" s="306">
        <f t="shared" si="6"/>
        <v>0.1</v>
      </c>
      <c r="AB20" s="306">
        <f t="shared" si="6"/>
        <v>0.1</v>
      </c>
      <c r="AC20" s="306">
        <f t="shared" si="6"/>
        <v>0</v>
      </c>
      <c r="AD20" s="306">
        <f t="shared" si="6"/>
        <v>0</v>
      </c>
      <c r="AE20" s="306">
        <f t="shared" si="6"/>
        <v>0</v>
      </c>
      <c r="AF20" s="307">
        <f t="shared" si="1"/>
        <v>11.899999999999999</v>
      </c>
      <c r="AG20" s="308">
        <f t="shared" si="2"/>
        <v>13.2</v>
      </c>
      <c r="AH20" s="308">
        <f t="shared" si="6"/>
        <v>153.9</v>
      </c>
      <c r="AI20" s="308">
        <f t="shared" si="6"/>
        <v>123.9</v>
      </c>
    </row>
    <row r="21" spans="1:35" ht="54" customHeight="1">
      <c r="A21" s="74"/>
      <c r="B21" s="146" t="s">
        <v>224</v>
      </c>
      <c r="C21" s="276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303">
        <f t="shared" si="0"/>
        <v>0</v>
      </c>
      <c r="O21" s="276"/>
      <c r="P21" s="277"/>
      <c r="Q21" s="304"/>
      <c r="R21" s="277"/>
      <c r="S21" s="304"/>
      <c r="T21" s="304"/>
      <c r="U21" s="304"/>
      <c r="V21" s="304"/>
      <c r="W21" s="304">
        <v>0.2</v>
      </c>
      <c r="X21" s="304"/>
      <c r="Y21" s="304"/>
      <c r="Z21" s="304"/>
      <c r="AA21" s="304"/>
      <c r="AB21" s="304"/>
      <c r="AC21" s="304"/>
      <c r="AD21" s="304"/>
      <c r="AE21" s="304"/>
      <c r="AF21" s="303">
        <f t="shared" si="1"/>
        <v>0.2</v>
      </c>
      <c r="AG21" s="282">
        <f t="shared" si="2"/>
        <v>0.2</v>
      </c>
      <c r="AH21" s="283">
        <v>0.3</v>
      </c>
      <c r="AI21" s="283">
        <v>0.2</v>
      </c>
    </row>
    <row r="22" spans="2:35" ht="54" customHeight="1" thickBot="1">
      <c r="B22" s="149" t="s">
        <v>257</v>
      </c>
      <c r="C22" s="305">
        <f>SUM(C21)</f>
        <v>0</v>
      </c>
      <c r="D22" s="306">
        <f aca="true" t="shared" si="7" ref="D22:AI22">SUM(D21)</f>
        <v>0</v>
      </c>
      <c r="E22" s="306">
        <f t="shared" si="7"/>
        <v>0</v>
      </c>
      <c r="F22" s="306">
        <f t="shared" si="7"/>
        <v>0</v>
      </c>
      <c r="G22" s="306">
        <f t="shared" si="7"/>
        <v>0</v>
      </c>
      <c r="H22" s="306">
        <f t="shared" si="7"/>
        <v>0</v>
      </c>
      <c r="I22" s="306">
        <f t="shared" si="7"/>
        <v>0</v>
      </c>
      <c r="J22" s="306">
        <f t="shared" si="7"/>
        <v>0</v>
      </c>
      <c r="K22" s="306">
        <f t="shared" si="7"/>
        <v>0</v>
      </c>
      <c r="L22" s="306">
        <f t="shared" si="7"/>
        <v>0</v>
      </c>
      <c r="M22" s="306">
        <f t="shared" si="7"/>
        <v>0</v>
      </c>
      <c r="N22" s="307">
        <f t="shared" si="0"/>
        <v>0</v>
      </c>
      <c r="O22" s="305">
        <f t="shared" si="7"/>
        <v>0</v>
      </c>
      <c r="P22" s="306">
        <f t="shared" si="7"/>
        <v>0</v>
      </c>
      <c r="Q22" s="306">
        <f t="shared" si="7"/>
        <v>0</v>
      </c>
      <c r="R22" s="306">
        <f t="shared" si="7"/>
        <v>0</v>
      </c>
      <c r="S22" s="306">
        <f t="shared" si="7"/>
        <v>0</v>
      </c>
      <c r="T22" s="306">
        <f t="shared" si="7"/>
        <v>0</v>
      </c>
      <c r="U22" s="306">
        <f t="shared" si="7"/>
        <v>0</v>
      </c>
      <c r="V22" s="306">
        <f t="shared" si="7"/>
        <v>0</v>
      </c>
      <c r="W22" s="306">
        <f t="shared" si="7"/>
        <v>0.2</v>
      </c>
      <c r="X22" s="306">
        <f t="shared" si="7"/>
        <v>0</v>
      </c>
      <c r="Y22" s="306">
        <f t="shared" si="7"/>
        <v>0</v>
      </c>
      <c r="Z22" s="306">
        <f t="shared" si="7"/>
        <v>0</v>
      </c>
      <c r="AA22" s="306">
        <f t="shared" si="7"/>
        <v>0</v>
      </c>
      <c r="AB22" s="306">
        <f t="shared" si="7"/>
        <v>0</v>
      </c>
      <c r="AC22" s="306">
        <f t="shared" si="7"/>
        <v>0</v>
      </c>
      <c r="AD22" s="306">
        <f t="shared" si="7"/>
        <v>0</v>
      </c>
      <c r="AE22" s="306">
        <f t="shared" si="7"/>
        <v>0</v>
      </c>
      <c r="AF22" s="307">
        <f t="shared" si="1"/>
        <v>0.2</v>
      </c>
      <c r="AG22" s="308">
        <f t="shared" si="2"/>
        <v>0.2</v>
      </c>
      <c r="AH22" s="308">
        <f t="shared" si="7"/>
        <v>0.3</v>
      </c>
      <c r="AI22" s="308">
        <f t="shared" si="7"/>
        <v>0.2</v>
      </c>
    </row>
    <row r="23" spans="1:35" ht="54" customHeight="1">
      <c r="A23" s="74"/>
      <c r="B23" s="146" t="s">
        <v>295</v>
      </c>
      <c r="C23" s="276">
        <v>1.5</v>
      </c>
      <c r="D23" s="277"/>
      <c r="E23" s="277">
        <v>1.5</v>
      </c>
      <c r="F23" s="277"/>
      <c r="G23" s="277">
        <v>0.7</v>
      </c>
      <c r="H23" s="277"/>
      <c r="I23" s="277"/>
      <c r="J23" s="277"/>
      <c r="K23" s="277"/>
      <c r="L23" s="277">
        <v>4</v>
      </c>
      <c r="M23" s="277">
        <v>1.4</v>
      </c>
      <c r="N23" s="303">
        <f t="shared" si="0"/>
        <v>9.1</v>
      </c>
      <c r="O23" s="276"/>
      <c r="P23" s="277"/>
      <c r="Q23" s="304">
        <v>0.2</v>
      </c>
      <c r="R23" s="277">
        <v>2</v>
      </c>
      <c r="S23" s="304">
        <v>16</v>
      </c>
      <c r="T23" s="304">
        <v>1.2</v>
      </c>
      <c r="U23" s="304">
        <v>0.3</v>
      </c>
      <c r="V23" s="304">
        <v>4.5</v>
      </c>
      <c r="W23" s="304"/>
      <c r="X23" s="304"/>
      <c r="Y23" s="304"/>
      <c r="Z23" s="304">
        <v>0.3</v>
      </c>
      <c r="AA23" s="304">
        <v>0.8</v>
      </c>
      <c r="AB23" s="304"/>
      <c r="AC23" s="304">
        <v>0.4</v>
      </c>
      <c r="AD23" s="304">
        <v>0.4</v>
      </c>
      <c r="AE23" s="304"/>
      <c r="AF23" s="303">
        <f t="shared" si="1"/>
        <v>26.099999999999998</v>
      </c>
      <c r="AG23" s="282">
        <f t="shared" si="2"/>
        <v>35.199999999999996</v>
      </c>
      <c r="AH23" s="283">
        <v>625</v>
      </c>
      <c r="AI23" s="283">
        <v>516</v>
      </c>
    </row>
    <row r="24" spans="1:35" ht="54" customHeight="1">
      <c r="A24" s="74"/>
      <c r="B24" s="148" t="s">
        <v>207</v>
      </c>
      <c r="C24" s="294">
        <v>61</v>
      </c>
      <c r="D24" s="295">
        <v>3.2</v>
      </c>
      <c r="E24" s="295">
        <v>32</v>
      </c>
      <c r="F24" s="295">
        <v>1</v>
      </c>
      <c r="G24" s="295">
        <v>24</v>
      </c>
      <c r="H24" s="295">
        <v>5</v>
      </c>
      <c r="I24" s="295">
        <v>0.9</v>
      </c>
      <c r="J24" s="295"/>
      <c r="K24" s="295">
        <v>12</v>
      </c>
      <c r="L24" s="295">
        <v>34</v>
      </c>
      <c r="M24" s="295">
        <v>25</v>
      </c>
      <c r="N24" s="278">
        <f t="shared" si="0"/>
        <v>198.10000000000002</v>
      </c>
      <c r="O24" s="294">
        <v>3</v>
      </c>
      <c r="P24" s="295"/>
      <c r="Q24" s="296">
        <v>5</v>
      </c>
      <c r="R24" s="295"/>
      <c r="S24" s="296">
        <v>60.2</v>
      </c>
      <c r="T24" s="296"/>
      <c r="U24" s="296">
        <v>2</v>
      </c>
      <c r="V24" s="296">
        <v>4.8</v>
      </c>
      <c r="W24" s="296"/>
      <c r="X24" s="296">
        <v>5</v>
      </c>
      <c r="Y24" s="296"/>
      <c r="Z24" s="296"/>
      <c r="AA24" s="296"/>
      <c r="AB24" s="296">
        <v>0.3</v>
      </c>
      <c r="AC24" s="296">
        <v>101.8</v>
      </c>
      <c r="AD24" s="296">
        <v>1</v>
      </c>
      <c r="AE24" s="296"/>
      <c r="AF24" s="278">
        <f t="shared" si="1"/>
        <v>183.1</v>
      </c>
      <c r="AG24" s="292">
        <f t="shared" si="2"/>
        <v>381.20000000000005</v>
      </c>
      <c r="AH24" s="297">
        <v>8000</v>
      </c>
      <c r="AI24" s="297">
        <v>7800</v>
      </c>
    </row>
    <row r="25" spans="1:35" ht="54" customHeight="1">
      <c r="A25" s="74"/>
      <c r="B25" s="147" t="s">
        <v>296</v>
      </c>
      <c r="C25" s="294">
        <v>14</v>
      </c>
      <c r="D25" s="295"/>
      <c r="E25" s="295">
        <v>3.5</v>
      </c>
      <c r="F25" s="295"/>
      <c r="G25" s="295">
        <v>33</v>
      </c>
      <c r="H25" s="295"/>
      <c r="I25" s="295"/>
      <c r="J25" s="295"/>
      <c r="K25" s="295"/>
      <c r="L25" s="295">
        <v>47.5</v>
      </c>
      <c r="M25" s="295">
        <v>11</v>
      </c>
      <c r="N25" s="278">
        <f t="shared" si="0"/>
        <v>109</v>
      </c>
      <c r="O25" s="294"/>
      <c r="P25" s="295"/>
      <c r="Q25" s="296">
        <v>2.8</v>
      </c>
      <c r="R25" s="295">
        <v>24.2</v>
      </c>
      <c r="S25" s="296">
        <v>38</v>
      </c>
      <c r="T25" s="296">
        <v>34</v>
      </c>
      <c r="U25" s="296">
        <v>7</v>
      </c>
      <c r="V25" s="296">
        <v>33</v>
      </c>
      <c r="W25" s="296">
        <v>0.3</v>
      </c>
      <c r="X25" s="296"/>
      <c r="Y25" s="296"/>
      <c r="Z25" s="296">
        <v>5.5</v>
      </c>
      <c r="AA25" s="296"/>
      <c r="AB25" s="296"/>
      <c r="AC25" s="296">
        <v>12.9</v>
      </c>
      <c r="AD25" s="296">
        <v>0.65</v>
      </c>
      <c r="AE25" s="296"/>
      <c r="AF25" s="278">
        <f t="shared" si="1"/>
        <v>158.35000000000002</v>
      </c>
      <c r="AG25" s="292">
        <f t="shared" si="2"/>
        <v>267.35</v>
      </c>
      <c r="AH25" s="297">
        <v>6045</v>
      </c>
      <c r="AI25" s="297">
        <v>5061</v>
      </c>
    </row>
    <row r="26" spans="2:35" ht="54" customHeight="1" thickBot="1">
      <c r="B26" s="149" t="s">
        <v>255</v>
      </c>
      <c r="C26" s="305">
        <f>SUM(C23:C25)</f>
        <v>76.5</v>
      </c>
      <c r="D26" s="306">
        <f aca="true" t="shared" si="8" ref="D26:AI26">SUM(D23:D25)</f>
        <v>3.2</v>
      </c>
      <c r="E26" s="306">
        <f t="shared" si="8"/>
        <v>37</v>
      </c>
      <c r="F26" s="306">
        <f t="shared" si="8"/>
        <v>1</v>
      </c>
      <c r="G26" s="306">
        <f t="shared" si="8"/>
        <v>57.7</v>
      </c>
      <c r="H26" s="306">
        <f t="shared" si="8"/>
        <v>5</v>
      </c>
      <c r="I26" s="306">
        <f t="shared" si="8"/>
        <v>0.9</v>
      </c>
      <c r="J26" s="306">
        <f t="shared" si="8"/>
        <v>0</v>
      </c>
      <c r="K26" s="306">
        <f t="shared" si="8"/>
        <v>12</v>
      </c>
      <c r="L26" s="306">
        <f t="shared" si="8"/>
        <v>85.5</v>
      </c>
      <c r="M26" s="306">
        <f t="shared" si="8"/>
        <v>37.4</v>
      </c>
      <c r="N26" s="307">
        <f t="shared" si="0"/>
        <v>316.2</v>
      </c>
      <c r="O26" s="305">
        <f t="shared" si="8"/>
        <v>3</v>
      </c>
      <c r="P26" s="306">
        <f t="shared" si="8"/>
        <v>0</v>
      </c>
      <c r="Q26" s="306">
        <f t="shared" si="8"/>
        <v>8</v>
      </c>
      <c r="R26" s="306">
        <f t="shared" si="8"/>
        <v>26.2</v>
      </c>
      <c r="S26" s="306">
        <f t="shared" si="8"/>
        <v>114.2</v>
      </c>
      <c r="T26" s="306">
        <f t="shared" si="8"/>
        <v>35.2</v>
      </c>
      <c r="U26" s="306">
        <f t="shared" si="8"/>
        <v>9.3</v>
      </c>
      <c r="V26" s="306">
        <f t="shared" si="8"/>
        <v>42.3</v>
      </c>
      <c r="W26" s="306">
        <f t="shared" si="8"/>
        <v>0.3</v>
      </c>
      <c r="X26" s="306">
        <f t="shared" si="8"/>
        <v>5</v>
      </c>
      <c r="Y26" s="306">
        <f t="shared" si="8"/>
        <v>0</v>
      </c>
      <c r="Z26" s="306">
        <f t="shared" si="8"/>
        <v>5.8</v>
      </c>
      <c r="AA26" s="306">
        <f t="shared" si="8"/>
        <v>0.8</v>
      </c>
      <c r="AB26" s="306">
        <f t="shared" si="8"/>
        <v>0.3</v>
      </c>
      <c r="AC26" s="306">
        <f t="shared" si="8"/>
        <v>115.10000000000001</v>
      </c>
      <c r="AD26" s="306">
        <f t="shared" si="8"/>
        <v>2.05</v>
      </c>
      <c r="AE26" s="306">
        <f t="shared" si="8"/>
        <v>0</v>
      </c>
      <c r="AF26" s="307">
        <f t="shared" si="1"/>
        <v>367.5500000000001</v>
      </c>
      <c r="AG26" s="308">
        <f t="shared" si="2"/>
        <v>683.7500000000001</v>
      </c>
      <c r="AH26" s="308">
        <f t="shared" si="8"/>
        <v>14670</v>
      </c>
      <c r="AI26" s="308">
        <f t="shared" si="8"/>
        <v>13377</v>
      </c>
    </row>
    <row r="27" spans="1:35" ht="54" customHeight="1">
      <c r="A27" s="74"/>
      <c r="B27" s="146" t="s">
        <v>238</v>
      </c>
      <c r="C27" s="276"/>
      <c r="D27" s="277"/>
      <c r="E27" s="277">
        <v>1.2</v>
      </c>
      <c r="F27" s="277"/>
      <c r="G27" s="277">
        <v>1.4</v>
      </c>
      <c r="H27" s="277"/>
      <c r="I27" s="277"/>
      <c r="J27" s="277"/>
      <c r="K27" s="277">
        <v>1</v>
      </c>
      <c r="L27" s="277">
        <v>0.3</v>
      </c>
      <c r="M27" s="277">
        <v>0.4</v>
      </c>
      <c r="N27" s="303">
        <f t="shared" si="0"/>
        <v>4.3</v>
      </c>
      <c r="O27" s="276">
        <v>0.2</v>
      </c>
      <c r="P27" s="277">
        <v>0.3</v>
      </c>
      <c r="Q27" s="304">
        <v>0.2</v>
      </c>
      <c r="R27" s="277">
        <v>6.5</v>
      </c>
      <c r="S27" s="304">
        <v>6.2</v>
      </c>
      <c r="T27" s="304"/>
      <c r="U27" s="304"/>
      <c r="V27" s="304"/>
      <c r="W27" s="304"/>
      <c r="X27" s="304"/>
      <c r="Y27" s="304">
        <v>10.5</v>
      </c>
      <c r="Z27" s="304"/>
      <c r="AA27" s="304"/>
      <c r="AB27" s="304"/>
      <c r="AC27" s="304"/>
      <c r="AD27" s="304"/>
      <c r="AE27" s="304"/>
      <c r="AF27" s="303">
        <f t="shared" si="1"/>
        <v>23.9</v>
      </c>
      <c r="AG27" s="282">
        <f t="shared" si="2"/>
        <v>28.2</v>
      </c>
      <c r="AH27" s="283">
        <v>720</v>
      </c>
      <c r="AI27" s="283">
        <v>500</v>
      </c>
    </row>
    <row r="28" spans="2:35" ht="54" customHeight="1" thickBot="1">
      <c r="B28" s="148" t="s">
        <v>256</v>
      </c>
      <c r="C28" s="310">
        <f>SUM(C27:C27)</f>
        <v>0</v>
      </c>
      <c r="D28" s="311">
        <f aca="true" t="shared" si="9" ref="D28:AI28">SUM(D27:D27)</f>
        <v>0</v>
      </c>
      <c r="E28" s="311">
        <f t="shared" si="9"/>
        <v>1.2</v>
      </c>
      <c r="F28" s="311">
        <f t="shared" si="9"/>
        <v>0</v>
      </c>
      <c r="G28" s="311">
        <f t="shared" si="9"/>
        <v>1.4</v>
      </c>
      <c r="H28" s="311">
        <f t="shared" si="9"/>
        <v>0</v>
      </c>
      <c r="I28" s="311">
        <f t="shared" si="9"/>
        <v>0</v>
      </c>
      <c r="J28" s="311">
        <f t="shared" si="9"/>
        <v>0</v>
      </c>
      <c r="K28" s="311">
        <f t="shared" si="9"/>
        <v>1</v>
      </c>
      <c r="L28" s="311">
        <f t="shared" si="9"/>
        <v>0.3</v>
      </c>
      <c r="M28" s="311">
        <f t="shared" si="9"/>
        <v>0.4</v>
      </c>
      <c r="N28" s="312">
        <f t="shared" si="0"/>
        <v>4.3</v>
      </c>
      <c r="O28" s="310">
        <f t="shared" si="9"/>
        <v>0.2</v>
      </c>
      <c r="P28" s="311">
        <f t="shared" si="9"/>
        <v>0.3</v>
      </c>
      <c r="Q28" s="311">
        <f t="shared" si="9"/>
        <v>0.2</v>
      </c>
      <c r="R28" s="311">
        <f t="shared" si="9"/>
        <v>6.5</v>
      </c>
      <c r="S28" s="311">
        <f t="shared" si="9"/>
        <v>6.2</v>
      </c>
      <c r="T28" s="311">
        <f t="shared" si="9"/>
        <v>0</v>
      </c>
      <c r="U28" s="311">
        <f t="shared" si="9"/>
        <v>0</v>
      </c>
      <c r="V28" s="311">
        <f t="shared" si="9"/>
        <v>0</v>
      </c>
      <c r="W28" s="311">
        <f t="shared" si="9"/>
        <v>0</v>
      </c>
      <c r="X28" s="311">
        <f t="shared" si="9"/>
        <v>0</v>
      </c>
      <c r="Y28" s="311">
        <f t="shared" si="9"/>
        <v>10.5</v>
      </c>
      <c r="Z28" s="311">
        <f t="shared" si="9"/>
        <v>0</v>
      </c>
      <c r="AA28" s="311">
        <f t="shared" si="9"/>
        <v>0</v>
      </c>
      <c r="AB28" s="311">
        <f t="shared" si="9"/>
        <v>0</v>
      </c>
      <c r="AC28" s="311">
        <f t="shared" si="9"/>
        <v>0</v>
      </c>
      <c r="AD28" s="311">
        <f t="shared" si="9"/>
        <v>0</v>
      </c>
      <c r="AE28" s="311">
        <f t="shared" si="9"/>
        <v>0</v>
      </c>
      <c r="AF28" s="312">
        <f t="shared" si="1"/>
        <v>23.9</v>
      </c>
      <c r="AG28" s="313">
        <f t="shared" si="2"/>
        <v>28.2</v>
      </c>
      <c r="AH28" s="313">
        <f t="shared" si="9"/>
        <v>720</v>
      </c>
      <c r="AI28" s="313">
        <f t="shared" si="9"/>
        <v>500</v>
      </c>
    </row>
    <row r="29" spans="2:35" ht="54" customHeight="1" thickBot="1">
      <c r="B29" s="150" t="s">
        <v>245</v>
      </c>
      <c r="C29" s="314">
        <f aca="true" t="shared" si="10" ref="C29:M29">SUM(C14,C17,C20,C22,C26,C28)</f>
        <v>78.97</v>
      </c>
      <c r="D29" s="315">
        <f t="shared" si="10"/>
        <v>3.2</v>
      </c>
      <c r="E29" s="315">
        <f t="shared" si="10"/>
        <v>47.75</v>
      </c>
      <c r="F29" s="315">
        <f t="shared" si="10"/>
        <v>1.1</v>
      </c>
      <c r="G29" s="315">
        <f t="shared" si="10"/>
        <v>62.6</v>
      </c>
      <c r="H29" s="315">
        <f t="shared" si="10"/>
        <v>5.4</v>
      </c>
      <c r="I29" s="315">
        <f t="shared" si="10"/>
        <v>5.6000000000000005</v>
      </c>
      <c r="J29" s="315">
        <f t="shared" si="10"/>
        <v>0.5</v>
      </c>
      <c r="K29" s="315">
        <f t="shared" si="10"/>
        <v>13</v>
      </c>
      <c r="L29" s="315">
        <f t="shared" si="10"/>
        <v>90.72</v>
      </c>
      <c r="M29" s="315">
        <f t="shared" si="10"/>
        <v>38.599999999999994</v>
      </c>
      <c r="N29" s="316">
        <f t="shared" si="0"/>
        <v>347.44000000000005</v>
      </c>
      <c r="O29" s="314">
        <f aca="true" t="shared" si="11" ref="O29:AE29">SUM(O14,O17,O20,O22,O26,O28)</f>
        <v>3.2</v>
      </c>
      <c r="P29" s="315">
        <f t="shared" si="11"/>
        <v>0.3</v>
      </c>
      <c r="Q29" s="315">
        <f t="shared" si="11"/>
        <v>8.5</v>
      </c>
      <c r="R29" s="315">
        <f t="shared" si="11"/>
        <v>46.620000000000005</v>
      </c>
      <c r="S29" s="315">
        <f t="shared" si="11"/>
        <v>161.60999999999999</v>
      </c>
      <c r="T29" s="315">
        <f t="shared" si="11"/>
        <v>35.2</v>
      </c>
      <c r="U29" s="315">
        <f t="shared" si="11"/>
        <v>9.3</v>
      </c>
      <c r="V29" s="315">
        <f t="shared" si="11"/>
        <v>42.5</v>
      </c>
      <c r="W29" s="315">
        <f t="shared" si="11"/>
        <v>0.5</v>
      </c>
      <c r="X29" s="315">
        <f t="shared" si="11"/>
        <v>5</v>
      </c>
      <c r="Y29" s="315">
        <f t="shared" si="11"/>
        <v>10.5</v>
      </c>
      <c r="Z29" s="315">
        <f t="shared" si="11"/>
        <v>5.8</v>
      </c>
      <c r="AA29" s="315">
        <f t="shared" si="11"/>
        <v>0.9</v>
      </c>
      <c r="AB29" s="315">
        <f t="shared" si="11"/>
        <v>0.8</v>
      </c>
      <c r="AC29" s="315">
        <f t="shared" si="11"/>
        <v>116.30000000000001</v>
      </c>
      <c r="AD29" s="315">
        <f t="shared" si="11"/>
        <v>2.75</v>
      </c>
      <c r="AE29" s="315">
        <f t="shared" si="11"/>
        <v>0.1</v>
      </c>
      <c r="AF29" s="316">
        <f t="shared" si="1"/>
        <v>449.88000000000005</v>
      </c>
      <c r="AG29" s="317">
        <f>SUM(N29,AF29)</f>
        <v>797.3200000000002</v>
      </c>
      <c r="AH29" s="317">
        <f>SUM(AH14,AH17,AH20,AH22,AH26,AH28)</f>
        <v>16259.35</v>
      </c>
      <c r="AI29" s="317">
        <f>SUM(AI14,AI17,AI20,AI22,AI26,AI28)</f>
        <v>14664.65</v>
      </c>
    </row>
  </sheetData>
  <sheetProtection/>
  <mergeCells count="9">
    <mergeCell ref="C5:N5"/>
    <mergeCell ref="I6:L6"/>
    <mergeCell ref="C6:H6"/>
    <mergeCell ref="AH1:AI1"/>
    <mergeCell ref="R6:W6"/>
    <mergeCell ref="X6:AB6"/>
    <mergeCell ref="O5:AF5"/>
    <mergeCell ref="O6:Q6"/>
    <mergeCell ref="AC6:AE6"/>
  </mergeCells>
  <printOptions horizontalCentered="1"/>
  <pageMargins left="0.1968503937007874" right="0.1968503937007874" top="1.5748031496062993" bottom="0.7874015748031497" header="0" footer="0"/>
  <pageSetup horizontalDpi="600" verticalDpi="600" orientation="portrait" paperSize="9" scale="30" r:id="rId2"/>
  <colBreaks count="1" manualBreakCount="1">
    <brk id="17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19"/>
  <sheetViews>
    <sheetView showOutlineSymbols="0" view="pageBreakPreview" zoomScale="50" zoomScaleNormal="40" zoomScaleSheetLayoutView="50" zoomScalePageLayoutView="0" workbookViewId="0" topLeftCell="A1">
      <selection activeCell="R18" sqref="R18"/>
    </sheetView>
  </sheetViews>
  <sheetFormatPr defaultColWidth="10.75390625" defaultRowHeight="54" customHeight="1"/>
  <cols>
    <col min="1" max="1" width="7.50390625" style="1" customWidth="1"/>
    <col min="2" max="2" width="20.625" style="1" customWidth="1"/>
    <col min="3" max="19" width="10.625" style="1" customWidth="1"/>
    <col min="20" max="22" width="15.625" style="1" customWidth="1"/>
    <col min="23" max="23" width="1.75390625" style="1" customWidth="1"/>
    <col min="24" max="16384" width="10.75390625" style="1" customWidth="1"/>
  </cols>
  <sheetData>
    <row r="1" spans="12:23" ht="54" customHeight="1">
      <c r="L1" s="46"/>
      <c r="U1" s="760"/>
      <c r="V1" s="760"/>
      <c r="W1" s="23"/>
    </row>
    <row r="2" spans="2:22" ht="54" customHeight="1">
      <c r="B2" s="2" t="s">
        <v>273</v>
      </c>
      <c r="V2" s="70"/>
    </row>
    <row r="3" ht="54" customHeight="1">
      <c r="B3" s="2"/>
    </row>
    <row r="4" spans="2:20" ht="54" customHeight="1" thickBot="1">
      <c r="B4" s="4" t="s">
        <v>275</v>
      </c>
      <c r="F4" s="5"/>
      <c r="T4" s="6"/>
    </row>
    <row r="5" spans="2:22" ht="54" customHeight="1">
      <c r="B5" s="30"/>
      <c r="C5" s="768" t="s">
        <v>24</v>
      </c>
      <c r="D5" s="769"/>
      <c r="E5" s="769"/>
      <c r="F5" s="769"/>
      <c r="G5" s="769"/>
      <c r="H5" s="769"/>
      <c r="I5" s="769"/>
      <c r="J5" s="769"/>
      <c r="K5" s="769"/>
      <c r="L5" s="769"/>
      <c r="M5" s="770"/>
      <c r="N5" s="774" t="s">
        <v>246</v>
      </c>
      <c r="O5" s="775"/>
      <c r="P5" s="775"/>
      <c r="Q5" s="775"/>
      <c r="R5" s="775"/>
      <c r="S5" s="764"/>
      <c r="T5" s="30" t="s">
        <v>118</v>
      </c>
      <c r="U5" s="82" t="s">
        <v>119</v>
      </c>
      <c r="V5" s="63" t="s">
        <v>120</v>
      </c>
    </row>
    <row r="6" spans="2:22" ht="54" customHeight="1">
      <c r="B6" s="9" t="s">
        <v>0</v>
      </c>
      <c r="C6" s="765" t="s">
        <v>28</v>
      </c>
      <c r="D6" s="756"/>
      <c r="E6" s="755" t="s">
        <v>68</v>
      </c>
      <c r="F6" s="756"/>
      <c r="G6" s="756"/>
      <c r="H6" s="756"/>
      <c r="I6" s="756"/>
      <c r="J6" s="771" t="s">
        <v>22</v>
      </c>
      <c r="K6" s="772"/>
      <c r="L6" s="773"/>
      <c r="M6" s="151"/>
      <c r="N6" s="765" t="s">
        <v>27</v>
      </c>
      <c r="O6" s="756"/>
      <c r="P6" s="761"/>
      <c r="Q6" s="115" t="s">
        <v>29</v>
      </c>
      <c r="R6" s="175" t="s">
        <v>140</v>
      </c>
      <c r="S6" s="53"/>
      <c r="T6" s="9" t="s">
        <v>49</v>
      </c>
      <c r="U6" s="83" t="s">
        <v>49</v>
      </c>
      <c r="V6" s="64" t="s">
        <v>49</v>
      </c>
    </row>
    <row r="7" spans="2:22" ht="54" customHeight="1" thickBot="1">
      <c r="B7" s="72"/>
      <c r="C7" s="152" t="s">
        <v>141</v>
      </c>
      <c r="D7" s="11" t="s">
        <v>146</v>
      </c>
      <c r="E7" s="34" t="s">
        <v>142</v>
      </c>
      <c r="F7" s="12" t="s">
        <v>143</v>
      </c>
      <c r="G7" s="19" t="s">
        <v>144</v>
      </c>
      <c r="H7" s="35" t="s">
        <v>41</v>
      </c>
      <c r="I7" s="95" t="s">
        <v>145</v>
      </c>
      <c r="J7" s="10" t="s">
        <v>69</v>
      </c>
      <c r="K7" s="10" t="s">
        <v>70</v>
      </c>
      <c r="L7" s="13" t="s">
        <v>149</v>
      </c>
      <c r="M7" s="15" t="s">
        <v>6</v>
      </c>
      <c r="N7" s="144" t="s">
        <v>147</v>
      </c>
      <c r="O7" s="94" t="s">
        <v>71</v>
      </c>
      <c r="P7" s="114" t="s">
        <v>148</v>
      </c>
      <c r="Q7" s="36" t="s">
        <v>150</v>
      </c>
      <c r="R7" s="102" t="s">
        <v>127</v>
      </c>
      <c r="S7" s="111" t="s">
        <v>6</v>
      </c>
      <c r="T7" s="37" t="s">
        <v>151</v>
      </c>
      <c r="U7" s="84" t="s">
        <v>152</v>
      </c>
      <c r="V7" s="65" t="s">
        <v>152</v>
      </c>
    </row>
    <row r="8" spans="1:22" ht="54" customHeight="1">
      <c r="A8" s="74"/>
      <c r="B8" s="128" t="s">
        <v>220</v>
      </c>
      <c r="C8" s="676"/>
      <c r="D8" s="665">
        <f>(1.1-1.6)/3+1.1</f>
        <v>0.9333333333333335</v>
      </c>
      <c r="E8" s="665">
        <f>(0.1-0.2)/3+0.1</f>
        <v>0.06666666666666668</v>
      </c>
      <c r="F8" s="665"/>
      <c r="G8" s="677"/>
      <c r="H8" s="677"/>
      <c r="I8" s="677"/>
      <c r="J8" s="665"/>
      <c r="K8" s="665"/>
      <c r="L8" s="666">
        <f>(0.7-0.5)/3+0.7</f>
        <v>0.7666666666666666</v>
      </c>
      <c r="M8" s="678">
        <f>SUM(C8:L8)</f>
        <v>1.7666666666666668</v>
      </c>
      <c r="N8" s="676"/>
      <c r="O8" s="677"/>
      <c r="P8" s="665">
        <f>(0.7-1)/3+0.7</f>
        <v>0.6</v>
      </c>
      <c r="Q8" s="665">
        <f>(0.4-0.5)/3+0.4</f>
        <v>0.3666666666666667</v>
      </c>
      <c r="R8" s="677"/>
      <c r="S8" s="678">
        <f>SUM(N8:R8)</f>
        <v>0.9666666666666667</v>
      </c>
      <c r="T8" s="679">
        <f>S8+M8</f>
        <v>2.7333333333333334</v>
      </c>
      <c r="U8" s="667">
        <f>28.8/3*T8</f>
        <v>26.24</v>
      </c>
      <c r="V8" s="680">
        <f>U8</f>
        <v>26.24</v>
      </c>
    </row>
    <row r="9" spans="2:22" ht="54" customHeight="1" thickBot="1">
      <c r="B9" s="78" t="s">
        <v>253</v>
      </c>
      <c r="C9" s="681">
        <f>SUM(C8)</f>
        <v>0</v>
      </c>
      <c r="D9" s="682">
        <f aca="true" t="shared" si="0" ref="D9:V11">SUM(D8)</f>
        <v>0.9333333333333335</v>
      </c>
      <c r="E9" s="683">
        <f t="shared" si="0"/>
        <v>0.06666666666666668</v>
      </c>
      <c r="F9" s="683">
        <f t="shared" si="0"/>
        <v>0</v>
      </c>
      <c r="G9" s="683">
        <f t="shared" si="0"/>
        <v>0</v>
      </c>
      <c r="H9" s="683">
        <f t="shared" si="0"/>
        <v>0</v>
      </c>
      <c r="I9" s="683">
        <f t="shared" si="0"/>
        <v>0</v>
      </c>
      <c r="J9" s="683">
        <f t="shared" si="0"/>
        <v>0</v>
      </c>
      <c r="K9" s="683">
        <f t="shared" si="0"/>
        <v>0</v>
      </c>
      <c r="L9" s="683">
        <f t="shared" si="0"/>
        <v>0.7666666666666666</v>
      </c>
      <c r="M9" s="684">
        <f>SUM(C9:L9)</f>
        <v>1.7666666666666668</v>
      </c>
      <c r="N9" s="685">
        <f t="shared" si="0"/>
        <v>0</v>
      </c>
      <c r="O9" s="682">
        <f t="shared" si="0"/>
        <v>0</v>
      </c>
      <c r="P9" s="682">
        <f t="shared" si="0"/>
        <v>0.6</v>
      </c>
      <c r="Q9" s="682">
        <f t="shared" si="0"/>
        <v>0.3666666666666667</v>
      </c>
      <c r="R9" s="682">
        <f t="shared" si="0"/>
        <v>0</v>
      </c>
      <c r="S9" s="686">
        <f>SUM(N9:R9)</f>
        <v>0.9666666666666667</v>
      </c>
      <c r="T9" s="687">
        <f>SUM(M9,S9)</f>
        <v>2.7333333333333334</v>
      </c>
      <c r="U9" s="328">
        <f t="shared" si="0"/>
        <v>26.24</v>
      </c>
      <c r="V9" s="328">
        <f t="shared" si="0"/>
        <v>26.24</v>
      </c>
    </row>
    <row r="10" spans="1:22" ht="54" customHeight="1">
      <c r="A10" s="74"/>
      <c r="B10" s="128" t="s">
        <v>244</v>
      </c>
      <c r="C10" s="688">
        <v>0.1</v>
      </c>
      <c r="D10" s="689">
        <v>0.2</v>
      </c>
      <c r="E10" s="689"/>
      <c r="F10" s="689"/>
      <c r="G10" s="690">
        <v>0.1</v>
      </c>
      <c r="H10" s="690">
        <v>0.2</v>
      </c>
      <c r="I10" s="690">
        <v>0.2</v>
      </c>
      <c r="J10" s="689"/>
      <c r="K10" s="689">
        <v>0.3</v>
      </c>
      <c r="L10" s="691">
        <v>0.3</v>
      </c>
      <c r="M10" s="692">
        <f aca="true" t="shared" si="1" ref="M10:M18">SUM(C10:L10)</f>
        <v>1.4000000000000001</v>
      </c>
      <c r="N10" s="688"/>
      <c r="O10" s="690"/>
      <c r="P10" s="690"/>
      <c r="Q10" s="690"/>
      <c r="R10" s="690"/>
      <c r="S10" s="692">
        <f aca="true" t="shared" si="2" ref="S10:S18">SUM(N10:R10)</f>
        <v>0</v>
      </c>
      <c r="T10" s="693">
        <f aca="true" t="shared" si="3" ref="T10:T18">SUM(M10,S10)</f>
        <v>1.4000000000000001</v>
      </c>
      <c r="U10" s="323">
        <v>7.4</v>
      </c>
      <c r="V10" s="324">
        <v>6.7</v>
      </c>
    </row>
    <row r="11" spans="2:22" ht="54" customHeight="1" thickBot="1">
      <c r="B11" s="78" t="s">
        <v>254</v>
      </c>
      <c r="C11" s="681">
        <f>SUM(C10)</f>
        <v>0.1</v>
      </c>
      <c r="D11" s="682">
        <f t="shared" si="0"/>
        <v>0.2</v>
      </c>
      <c r="E11" s="683">
        <f t="shared" si="0"/>
        <v>0</v>
      </c>
      <c r="F11" s="683">
        <f t="shared" si="0"/>
        <v>0</v>
      </c>
      <c r="G11" s="683">
        <f t="shared" si="0"/>
        <v>0.1</v>
      </c>
      <c r="H11" s="683">
        <f t="shared" si="0"/>
        <v>0.2</v>
      </c>
      <c r="I11" s="683">
        <f t="shared" si="0"/>
        <v>0.2</v>
      </c>
      <c r="J11" s="683">
        <f t="shared" si="0"/>
        <v>0</v>
      </c>
      <c r="K11" s="683">
        <f t="shared" si="0"/>
        <v>0.3</v>
      </c>
      <c r="L11" s="683">
        <f t="shared" si="0"/>
        <v>0.3</v>
      </c>
      <c r="M11" s="684">
        <f t="shared" si="1"/>
        <v>1.4000000000000001</v>
      </c>
      <c r="N11" s="685">
        <f t="shared" si="0"/>
        <v>0</v>
      </c>
      <c r="O11" s="682">
        <f t="shared" si="0"/>
        <v>0</v>
      </c>
      <c r="P11" s="682">
        <f t="shared" si="0"/>
        <v>0</v>
      </c>
      <c r="Q11" s="682">
        <f t="shared" si="0"/>
        <v>0</v>
      </c>
      <c r="R11" s="682">
        <f t="shared" si="0"/>
        <v>0</v>
      </c>
      <c r="S11" s="686">
        <f t="shared" si="2"/>
        <v>0</v>
      </c>
      <c r="T11" s="687">
        <f t="shared" si="3"/>
        <v>1.4000000000000001</v>
      </c>
      <c r="U11" s="328">
        <f t="shared" si="0"/>
        <v>7.4</v>
      </c>
      <c r="V11" s="328">
        <f t="shared" si="0"/>
        <v>6.7</v>
      </c>
    </row>
    <row r="12" spans="1:22" ht="54" customHeight="1">
      <c r="A12" s="74"/>
      <c r="B12" s="79" t="s">
        <v>225</v>
      </c>
      <c r="C12" s="688"/>
      <c r="D12" s="689">
        <v>0.1</v>
      </c>
      <c r="E12" s="689"/>
      <c r="F12" s="689">
        <v>0.1</v>
      </c>
      <c r="G12" s="690"/>
      <c r="H12" s="690">
        <v>0.03</v>
      </c>
      <c r="I12" s="690">
        <v>0.05</v>
      </c>
      <c r="J12" s="689">
        <v>0.1</v>
      </c>
      <c r="K12" s="689">
        <v>0.2</v>
      </c>
      <c r="L12" s="691">
        <v>0.8</v>
      </c>
      <c r="M12" s="692">
        <f t="shared" si="1"/>
        <v>1.3800000000000001</v>
      </c>
      <c r="N12" s="688">
        <v>0.2</v>
      </c>
      <c r="O12" s="690"/>
      <c r="P12" s="690">
        <v>0.02</v>
      </c>
      <c r="Q12" s="690">
        <v>0.25</v>
      </c>
      <c r="R12" s="690">
        <v>0.12000000000000001</v>
      </c>
      <c r="S12" s="692">
        <f t="shared" si="2"/>
        <v>0.59</v>
      </c>
      <c r="T12" s="693">
        <f t="shared" si="3"/>
        <v>1.9700000000000002</v>
      </c>
      <c r="U12" s="323">
        <v>19.4</v>
      </c>
      <c r="V12" s="324">
        <v>17.7</v>
      </c>
    </row>
    <row r="13" spans="1:22" ht="54" customHeight="1">
      <c r="A13" s="74"/>
      <c r="B13" s="79" t="s">
        <v>226</v>
      </c>
      <c r="C13" s="688"/>
      <c r="D13" s="689">
        <v>0.2</v>
      </c>
      <c r="E13" s="689">
        <v>0.05</v>
      </c>
      <c r="F13" s="689"/>
      <c r="G13" s="690">
        <v>0.05</v>
      </c>
      <c r="H13" s="690">
        <v>0.05</v>
      </c>
      <c r="I13" s="690">
        <v>0.1</v>
      </c>
      <c r="J13" s="689"/>
      <c r="K13" s="689">
        <v>0.05</v>
      </c>
      <c r="L13" s="691">
        <v>0.06</v>
      </c>
      <c r="M13" s="692">
        <f t="shared" si="1"/>
        <v>0.5599999999999999</v>
      </c>
      <c r="N13" s="688"/>
      <c r="O13" s="690">
        <v>0.01</v>
      </c>
      <c r="P13" s="690">
        <v>0.1</v>
      </c>
      <c r="Q13" s="690">
        <v>0.05</v>
      </c>
      <c r="R13" s="690">
        <v>0.4</v>
      </c>
      <c r="S13" s="692">
        <f t="shared" si="2"/>
        <v>0.56</v>
      </c>
      <c r="T13" s="693">
        <f t="shared" si="3"/>
        <v>1.12</v>
      </c>
      <c r="U13" s="323">
        <v>12.1</v>
      </c>
      <c r="V13" s="324">
        <v>12.1</v>
      </c>
    </row>
    <row r="14" spans="1:22" ht="54" customHeight="1">
      <c r="A14" s="74"/>
      <c r="B14" s="79" t="s">
        <v>227</v>
      </c>
      <c r="C14" s="688"/>
      <c r="D14" s="689">
        <v>0.5</v>
      </c>
      <c r="E14" s="689"/>
      <c r="F14" s="689"/>
      <c r="G14" s="690"/>
      <c r="H14" s="690"/>
      <c r="I14" s="690"/>
      <c r="J14" s="689"/>
      <c r="K14" s="689"/>
      <c r="L14" s="691">
        <v>0.5</v>
      </c>
      <c r="M14" s="692">
        <f t="shared" si="1"/>
        <v>1</v>
      </c>
      <c r="N14" s="688"/>
      <c r="O14" s="690">
        <v>0.1</v>
      </c>
      <c r="P14" s="690"/>
      <c r="Q14" s="690"/>
      <c r="R14" s="690">
        <v>0.1</v>
      </c>
      <c r="S14" s="692">
        <f t="shared" si="2"/>
        <v>0.2</v>
      </c>
      <c r="T14" s="693">
        <f t="shared" si="3"/>
        <v>1.2</v>
      </c>
      <c r="U14" s="323">
        <v>9.5</v>
      </c>
      <c r="V14" s="324">
        <v>8</v>
      </c>
    </row>
    <row r="15" spans="2:22" ht="54" customHeight="1" thickBot="1">
      <c r="B15" s="78" t="s">
        <v>257</v>
      </c>
      <c r="C15" s="681">
        <f>SUM(C12:C14)</f>
        <v>0</v>
      </c>
      <c r="D15" s="683">
        <f aca="true" t="shared" si="4" ref="D15:V15">SUM(D12:D14)</f>
        <v>0.8</v>
      </c>
      <c r="E15" s="683">
        <f t="shared" si="4"/>
        <v>0.05</v>
      </c>
      <c r="F15" s="683">
        <f t="shared" si="4"/>
        <v>0.1</v>
      </c>
      <c r="G15" s="683">
        <f t="shared" si="4"/>
        <v>0.05</v>
      </c>
      <c r="H15" s="683">
        <f t="shared" si="4"/>
        <v>0.08</v>
      </c>
      <c r="I15" s="683">
        <f t="shared" si="4"/>
        <v>0.15000000000000002</v>
      </c>
      <c r="J15" s="683">
        <f t="shared" si="4"/>
        <v>0.1</v>
      </c>
      <c r="K15" s="683">
        <f t="shared" si="4"/>
        <v>0.25</v>
      </c>
      <c r="L15" s="683">
        <f t="shared" si="4"/>
        <v>1.36</v>
      </c>
      <c r="M15" s="694">
        <f t="shared" si="1"/>
        <v>2.9400000000000004</v>
      </c>
      <c r="N15" s="681">
        <f t="shared" si="4"/>
        <v>0.2</v>
      </c>
      <c r="O15" s="683">
        <f t="shared" si="4"/>
        <v>0.11</v>
      </c>
      <c r="P15" s="683">
        <f t="shared" si="4"/>
        <v>0.12000000000000001</v>
      </c>
      <c r="Q15" s="683">
        <f t="shared" si="4"/>
        <v>0.3</v>
      </c>
      <c r="R15" s="683">
        <f t="shared" si="4"/>
        <v>0.62</v>
      </c>
      <c r="S15" s="686">
        <f t="shared" si="2"/>
        <v>1.35</v>
      </c>
      <c r="T15" s="687">
        <f t="shared" si="3"/>
        <v>4.290000000000001</v>
      </c>
      <c r="U15" s="328">
        <f t="shared" si="4"/>
        <v>41</v>
      </c>
      <c r="V15" s="328">
        <f t="shared" si="4"/>
        <v>37.8</v>
      </c>
    </row>
    <row r="16" spans="1:22" ht="54" customHeight="1">
      <c r="A16" s="74"/>
      <c r="B16" s="79" t="s">
        <v>238</v>
      </c>
      <c r="C16" s="688"/>
      <c r="D16" s="689">
        <v>0.1</v>
      </c>
      <c r="E16" s="689"/>
      <c r="F16" s="689"/>
      <c r="G16" s="690"/>
      <c r="H16" s="690"/>
      <c r="I16" s="690"/>
      <c r="J16" s="689"/>
      <c r="K16" s="689"/>
      <c r="L16" s="691">
        <v>0.1</v>
      </c>
      <c r="M16" s="692">
        <f t="shared" si="1"/>
        <v>0.2</v>
      </c>
      <c r="N16" s="688"/>
      <c r="O16" s="690"/>
      <c r="P16" s="690"/>
      <c r="Q16" s="690">
        <v>0.1</v>
      </c>
      <c r="R16" s="690"/>
      <c r="S16" s="692">
        <f t="shared" si="2"/>
        <v>0.1</v>
      </c>
      <c r="T16" s="693">
        <f t="shared" si="3"/>
        <v>0.30000000000000004</v>
      </c>
      <c r="U16" s="323">
        <v>3</v>
      </c>
      <c r="V16" s="324">
        <v>1</v>
      </c>
    </row>
    <row r="17" spans="1:22" ht="54" customHeight="1">
      <c r="A17" s="74"/>
      <c r="B17" s="188" t="s">
        <v>240</v>
      </c>
      <c r="C17" s="695"/>
      <c r="D17" s="696"/>
      <c r="E17" s="696">
        <v>0.03</v>
      </c>
      <c r="F17" s="696"/>
      <c r="G17" s="697"/>
      <c r="H17" s="697"/>
      <c r="I17" s="697"/>
      <c r="J17" s="696"/>
      <c r="K17" s="696"/>
      <c r="L17" s="698">
        <v>0.03</v>
      </c>
      <c r="M17" s="692">
        <f t="shared" si="1"/>
        <v>0.06</v>
      </c>
      <c r="N17" s="695"/>
      <c r="O17" s="697"/>
      <c r="P17" s="697"/>
      <c r="Q17" s="697">
        <v>0.03</v>
      </c>
      <c r="R17" s="697"/>
      <c r="S17" s="692">
        <f t="shared" si="2"/>
        <v>0.03</v>
      </c>
      <c r="T17" s="693">
        <f t="shared" si="3"/>
        <v>0.09</v>
      </c>
      <c r="U17" s="331">
        <v>1.3</v>
      </c>
      <c r="V17" s="332">
        <v>1.3</v>
      </c>
    </row>
    <row r="18" spans="2:22" ht="54" customHeight="1" thickBot="1">
      <c r="B18" s="78" t="s">
        <v>256</v>
      </c>
      <c r="C18" s="681">
        <f>SUM(C16:C17)</f>
        <v>0</v>
      </c>
      <c r="D18" s="682">
        <f aca="true" t="shared" si="5" ref="D18:V18">SUM(D16:D17)</f>
        <v>0.1</v>
      </c>
      <c r="E18" s="683">
        <f t="shared" si="5"/>
        <v>0.03</v>
      </c>
      <c r="F18" s="683">
        <f t="shared" si="5"/>
        <v>0</v>
      </c>
      <c r="G18" s="683">
        <f t="shared" si="5"/>
        <v>0</v>
      </c>
      <c r="H18" s="683">
        <f t="shared" si="5"/>
        <v>0</v>
      </c>
      <c r="I18" s="683">
        <f t="shared" si="5"/>
        <v>0</v>
      </c>
      <c r="J18" s="683">
        <f t="shared" si="5"/>
        <v>0</v>
      </c>
      <c r="K18" s="683">
        <f t="shared" si="5"/>
        <v>0</v>
      </c>
      <c r="L18" s="683">
        <f t="shared" si="5"/>
        <v>0.13</v>
      </c>
      <c r="M18" s="694">
        <f t="shared" si="1"/>
        <v>0.26</v>
      </c>
      <c r="N18" s="685">
        <f t="shared" si="5"/>
        <v>0</v>
      </c>
      <c r="O18" s="682">
        <f t="shared" si="5"/>
        <v>0</v>
      </c>
      <c r="P18" s="682">
        <f t="shared" si="5"/>
        <v>0</v>
      </c>
      <c r="Q18" s="682">
        <f t="shared" si="5"/>
        <v>0.13</v>
      </c>
      <c r="R18" s="682">
        <f t="shared" si="5"/>
        <v>0</v>
      </c>
      <c r="S18" s="686">
        <f t="shared" si="2"/>
        <v>0.13</v>
      </c>
      <c r="T18" s="687">
        <f t="shared" si="3"/>
        <v>0.39</v>
      </c>
      <c r="U18" s="328">
        <f t="shared" si="5"/>
        <v>4.3</v>
      </c>
      <c r="V18" s="328">
        <f t="shared" si="5"/>
        <v>2.3</v>
      </c>
    </row>
    <row r="19" spans="2:22" ht="54" customHeight="1" thickBot="1">
      <c r="B19" s="78" t="s">
        <v>245</v>
      </c>
      <c r="C19" s="701">
        <f>SUM(C9,C11,C15,C18)</f>
        <v>0.1</v>
      </c>
      <c r="D19" s="702">
        <f aca="true" t="shared" si="6" ref="D19:L19">SUM(D9,D11,D15,D18)</f>
        <v>2.0333333333333337</v>
      </c>
      <c r="E19" s="702">
        <f t="shared" si="6"/>
        <v>0.14666666666666667</v>
      </c>
      <c r="F19" s="702">
        <f t="shared" si="6"/>
        <v>0.1</v>
      </c>
      <c r="G19" s="702">
        <f t="shared" si="6"/>
        <v>0.15000000000000002</v>
      </c>
      <c r="H19" s="702">
        <f t="shared" si="6"/>
        <v>0.28</v>
      </c>
      <c r="I19" s="702">
        <f t="shared" si="6"/>
        <v>0.35000000000000003</v>
      </c>
      <c r="J19" s="702">
        <f t="shared" si="6"/>
        <v>0.1</v>
      </c>
      <c r="K19" s="702">
        <f t="shared" si="6"/>
        <v>0.55</v>
      </c>
      <c r="L19" s="702">
        <f t="shared" si="6"/>
        <v>2.5566666666666666</v>
      </c>
      <c r="M19" s="748">
        <f aca="true" t="shared" si="7" ref="M19:V19">SUM(M9,M11,M15,M18)</f>
        <v>6.366666666666667</v>
      </c>
      <c r="N19" s="703">
        <f t="shared" si="7"/>
        <v>0.2</v>
      </c>
      <c r="O19" s="702">
        <f t="shared" si="7"/>
        <v>0.11</v>
      </c>
      <c r="P19" s="702">
        <f t="shared" si="7"/>
        <v>0.72</v>
      </c>
      <c r="Q19" s="702">
        <f t="shared" si="7"/>
        <v>0.7966666666666667</v>
      </c>
      <c r="R19" s="702">
        <f t="shared" si="7"/>
        <v>0.62</v>
      </c>
      <c r="S19" s="699">
        <f t="shared" si="7"/>
        <v>2.4466666666666668</v>
      </c>
      <c r="T19" s="700">
        <f t="shared" si="7"/>
        <v>8.813333333333336</v>
      </c>
      <c r="U19" s="334">
        <f t="shared" si="7"/>
        <v>78.94</v>
      </c>
      <c r="V19" s="334">
        <f t="shared" si="7"/>
        <v>73.03999999999999</v>
      </c>
    </row>
  </sheetData>
  <sheetProtection/>
  <mergeCells count="7">
    <mergeCell ref="U1:V1"/>
    <mergeCell ref="C5:M5"/>
    <mergeCell ref="C6:D6"/>
    <mergeCell ref="E6:I6"/>
    <mergeCell ref="J6:L6"/>
    <mergeCell ref="N5:S5"/>
    <mergeCell ref="N6:P6"/>
  </mergeCells>
  <printOptions horizontalCentered="1"/>
  <pageMargins left="0.1968503937007874" right="0.1968503937007874" top="1.5748031496062993" bottom="0.7874015748031497" header="0" footer="0"/>
  <pageSetup horizontalDpi="600" verticalDpi="600" orientation="portrait" paperSize="9" scale="50" r:id="rId3"/>
  <colBreaks count="1" manualBreakCount="1">
    <brk id="13" max="2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42"/>
  <sheetViews>
    <sheetView showOutlineSymbols="0" view="pageBreakPreview" zoomScale="50" zoomScaleNormal="40" zoomScaleSheetLayoutView="50" workbookViewId="0" topLeftCell="A1">
      <selection activeCell="X3" sqref="X2:X3"/>
    </sheetView>
  </sheetViews>
  <sheetFormatPr defaultColWidth="10.75390625" defaultRowHeight="54" customHeight="1"/>
  <cols>
    <col min="1" max="1" width="7.375" style="70" customWidth="1"/>
    <col min="2" max="2" width="20.625" style="1" customWidth="1"/>
    <col min="3" max="27" width="12.625" style="1" customWidth="1"/>
    <col min="28" max="30" width="15.625" style="1" customWidth="1"/>
    <col min="31" max="31" width="1.75390625" style="1" customWidth="1"/>
    <col min="32" max="16384" width="10.75390625" style="1" customWidth="1"/>
  </cols>
  <sheetData>
    <row r="1" spans="14:31" ht="54" customHeight="1">
      <c r="N1" s="46"/>
      <c r="AC1" s="760"/>
      <c r="AD1" s="760"/>
      <c r="AE1" s="23"/>
    </row>
    <row r="2" spans="2:30" ht="54" customHeight="1">
      <c r="B2" s="2" t="s">
        <v>273</v>
      </c>
      <c r="AD2" s="70"/>
    </row>
    <row r="3" spans="2:28" ht="54" customHeight="1" thickBot="1">
      <c r="B3" s="4" t="s">
        <v>276</v>
      </c>
      <c r="O3" s="3"/>
      <c r="Q3" s="25"/>
      <c r="R3" s="39"/>
      <c r="AB3" s="6"/>
    </row>
    <row r="4" spans="2:30" ht="54" customHeight="1" thickBot="1">
      <c r="B4" s="186"/>
      <c r="C4" s="796" t="s">
        <v>24</v>
      </c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70"/>
      <c r="O4" s="762" t="s">
        <v>246</v>
      </c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4"/>
      <c r="AB4" s="174" t="s">
        <v>118</v>
      </c>
      <c r="AC4" s="63" t="s">
        <v>119</v>
      </c>
      <c r="AD4" s="75" t="s">
        <v>120</v>
      </c>
    </row>
    <row r="5" spans="2:30" ht="54" customHeight="1">
      <c r="B5" s="806" t="s">
        <v>0</v>
      </c>
      <c r="C5" s="134" t="s">
        <v>247</v>
      </c>
      <c r="D5" s="755" t="s">
        <v>30</v>
      </c>
      <c r="E5" s="756"/>
      <c r="F5" s="756"/>
      <c r="G5" s="755" t="s">
        <v>31</v>
      </c>
      <c r="H5" s="756"/>
      <c r="I5" s="756"/>
      <c r="J5" s="756"/>
      <c r="K5" s="761"/>
      <c r="L5" s="756" t="s">
        <v>258</v>
      </c>
      <c r="M5" s="756"/>
      <c r="N5" s="53"/>
      <c r="O5" s="765" t="s">
        <v>259</v>
      </c>
      <c r="P5" s="761"/>
      <c r="Q5" s="755" t="s">
        <v>30</v>
      </c>
      <c r="R5" s="756"/>
      <c r="S5" s="756"/>
      <c r="T5" s="132" t="s">
        <v>31</v>
      </c>
      <c r="U5" s="755" t="s">
        <v>33</v>
      </c>
      <c r="V5" s="756"/>
      <c r="W5" s="756"/>
      <c r="X5" s="756"/>
      <c r="Y5" s="132" t="s">
        <v>32</v>
      </c>
      <c r="Z5" s="31" t="s">
        <v>153</v>
      </c>
      <c r="AA5" s="53"/>
      <c r="AB5" s="178" t="s">
        <v>49</v>
      </c>
      <c r="AC5" s="64" t="s">
        <v>49</v>
      </c>
      <c r="AD5" s="76" t="s">
        <v>49</v>
      </c>
    </row>
    <row r="6" spans="2:30" ht="27" customHeight="1">
      <c r="B6" s="807"/>
      <c r="C6" s="790" t="s">
        <v>72</v>
      </c>
      <c r="D6" s="792" t="s">
        <v>131</v>
      </c>
      <c r="E6" s="794" t="s">
        <v>132</v>
      </c>
      <c r="F6" s="798" t="s">
        <v>154</v>
      </c>
      <c r="G6" s="780" t="s">
        <v>155</v>
      </c>
      <c r="H6" s="780" t="s">
        <v>114</v>
      </c>
      <c r="I6" s="782" t="s">
        <v>156</v>
      </c>
      <c r="J6" s="782" t="s">
        <v>157</v>
      </c>
      <c r="K6" s="780" t="s">
        <v>121</v>
      </c>
      <c r="L6" s="798" t="s">
        <v>158</v>
      </c>
      <c r="M6" s="800" t="s">
        <v>73</v>
      </c>
      <c r="N6" s="784" t="s">
        <v>6</v>
      </c>
      <c r="O6" s="802" t="s">
        <v>43</v>
      </c>
      <c r="P6" s="804" t="s">
        <v>202</v>
      </c>
      <c r="Q6" s="811" t="s">
        <v>133</v>
      </c>
      <c r="R6" s="812"/>
      <c r="S6" s="788" t="s">
        <v>159</v>
      </c>
      <c r="T6" s="786" t="s">
        <v>160</v>
      </c>
      <c r="U6" s="776" t="s">
        <v>161</v>
      </c>
      <c r="V6" s="778" t="s">
        <v>162</v>
      </c>
      <c r="W6" s="817" t="s">
        <v>163</v>
      </c>
      <c r="X6" s="812"/>
      <c r="Y6" s="818" t="s">
        <v>164</v>
      </c>
      <c r="Z6" s="820" t="s">
        <v>127</v>
      </c>
      <c r="AA6" s="784" t="s">
        <v>6</v>
      </c>
      <c r="AB6" s="809" t="s">
        <v>138</v>
      </c>
      <c r="AC6" s="815" t="s">
        <v>139</v>
      </c>
      <c r="AD6" s="813" t="s">
        <v>139</v>
      </c>
    </row>
    <row r="7" spans="2:30" ht="27" customHeight="1" thickBot="1">
      <c r="B7" s="808"/>
      <c r="C7" s="791"/>
      <c r="D7" s="793"/>
      <c r="E7" s="795"/>
      <c r="F7" s="799"/>
      <c r="G7" s="781"/>
      <c r="H7" s="781"/>
      <c r="I7" s="783"/>
      <c r="J7" s="783"/>
      <c r="K7" s="781"/>
      <c r="L7" s="799"/>
      <c r="M7" s="801"/>
      <c r="N7" s="785"/>
      <c r="O7" s="803"/>
      <c r="P7" s="805"/>
      <c r="Q7" s="107"/>
      <c r="R7" s="108" t="s">
        <v>128</v>
      </c>
      <c r="S7" s="789"/>
      <c r="T7" s="787"/>
      <c r="U7" s="777"/>
      <c r="V7" s="779"/>
      <c r="W7" s="109"/>
      <c r="X7" s="108" t="s">
        <v>165</v>
      </c>
      <c r="Y7" s="819"/>
      <c r="Z7" s="821"/>
      <c r="AA7" s="785"/>
      <c r="AB7" s="810"/>
      <c r="AC7" s="816"/>
      <c r="AD7" s="814"/>
    </row>
    <row r="8" spans="2:30" ht="52.5" customHeight="1">
      <c r="B8" s="68" t="s">
        <v>214</v>
      </c>
      <c r="C8" s="335"/>
      <c r="D8" s="336"/>
      <c r="E8" s="337"/>
      <c r="F8" s="336"/>
      <c r="G8" s="336"/>
      <c r="H8" s="336"/>
      <c r="I8" s="336">
        <v>2.14</v>
      </c>
      <c r="J8" s="336"/>
      <c r="K8" s="336"/>
      <c r="L8" s="336"/>
      <c r="M8" s="337"/>
      <c r="N8" s="338">
        <f aca="true" t="shared" si="0" ref="N8:N17">SUM(C8:M8)</f>
        <v>2.14</v>
      </c>
      <c r="O8" s="339"/>
      <c r="P8" s="337"/>
      <c r="Q8" s="336">
        <v>2.76</v>
      </c>
      <c r="R8" s="336">
        <v>0.7</v>
      </c>
      <c r="S8" s="337">
        <v>1.2</v>
      </c>
      <c r="T8" s="337">
        <v>0.5</v>
      </c>
      <c r="U8" s="337"/>
      <c r="V8" s="337"/>
      <c r="W8" s="337"/>
      <c r="X8" s="337"/>
      <c r="Y8" s="337"/>
      <c r="Z8" s="337"/>
      <c r="AA8" s="338">
        <f aca="true" t="shared" si="1" ref="AA8:AA21">SUM(O8:Q8,S8:W8,Y8:Z8)</f>
        <v>4.46</v>
      </c>
      <c r="AB8" s="340">
        <f aca="true" t="shared" si="2" ref="AB8:AB19">SUM(N8,AA8)</f>
        <v>6.6</v>
      </c>
      <c r="AC8" s="341">
        <v>40.5</v>
      </c>
      <c r="AD8" s="342">
        <v>40</v>
      </c>
    </row>
    <row r="9" spans="2:30" ht="52.5" customHeight="1">
      <c r="B9" s="68" t="s">
        <v>215</v>
      </c>
      <c r="C9" s="335"/>
      <c r="D9" s="336"/>
      <c r="E9" s="337"/>
      <c r="F9" s="336"/>
      <c r="G9" s="336"/>
      <c r="H9" s="336"/>
      <c r="I9" s="336"/>
      <c r="J9" s="336"/>
      <c r="K9" s="336"/>
      <c r="L9" s="336"/>
      <c r="M9" s="337"/>
      <c r="N9" s="338">
        <f t="shared" si="0"/>
        <v>0</v>
      </c>
      <c r="O9" s="339"/>
      <c r="P9" s="337"/>
      <c r="Q9" s="336">
        <v>1.2</v>
      </c>
      <c r="R9" s="336">
        <v>0.4</v>
      </c>
      <c r="S9" s="337">
        <v>0.8</v>
      </c>
      <c r="T9" s="337"/>
      <c r="U9" s="337"/>
      <c r="V9" s="337"/>
      <c r="W9" s="337"/>
      <c r="X9" s="337"/>
      <c r="Y9" s="337"/>
      <c r="Z9" s="337"/>
      <c r="AA9" s="338">
        <f t="shared" si="1"/>
        <v>2</v>
      </c>
      <c r="AB9" s="340">
        <f t="shared" si="2"/>
        <v>2</v>
      </c>
      <c r="AC9" s="341">
        <v>7.2</v>
      </c>
      <c r="AD9" s="341">
        <v>7.2</v>
      </c>
    </row>
    <row r="10" spans="2:30" ht="52.5" customHeight="1">
      <c r="B10" s="106" t="s">
        <v>216</v>
      </c>
      <c r="C10" s="343"/>
      <c r="D10" s="344"/>
      <c r="E10" s="345"/>
      <c r="F10" s="344"/>
      <c r="G10" s="344"/>
      <c r="H10" s="344"/>
      <c r="I10" s="344">
        <v>0.08</v>
      </c>
      <c r="J10" s="344"/>
      <c r="K10" s="344"/>
      <c r="L10" s="344"/>
      <c r="M10" s="345"/>
      <c r="N10" s="338">
        <f t="shared" si="0"/>
        <v>0.08</v>
      </c>
      <c r="O10" s="346"/>
      <c r="P10" s="345"/>
      <c r="Q10" s="344"/>
      <c r="R10" s="344"/>
      <c r="S10" s="345"/>
      <c r="T10" s="345"/>
      <c r="U10" s="345"/>
      <c r="V10" s="345"/>
      <c r="W10" s="345"/>
      <c r="X10" s="345"/>
      <c r="Y10" s="345">
        <v>0.19</v>
      </c>
      <c r="Z10" s="345">
        <v>0.21</v>
      </c>
      <c r="AA10" s="338">
        <f t="shared" si="1"/>
        <v>0.4</v>
      </c>
      <c r="AB10" s="340">
        <f t="shared" si="2"/>
        <v>0.48000000000000004</v>
      </c>
      <c r="AC10" s="347">
        <v>3.76</v>
      </c>
      <c r="AD10" s="348">
        <v>3.5</v>
      </c>
    </row>
    <row r="11" spans="2:30" ht="55.5" customHeight="1">
      <c r="B11" s="68" t="s">
        <v>211</v>
      </c>
      <c r="C11" s="335"/>
      <c r="D11" s="336"/>
      <c r="E11" s="337"/>
      <c r="F11" s="336"/>
      <c r="G11" s="336"/>
      <c r="H11" s="336"/>
      <c r="I11" s="336"/>
      <c r="J11" s="336"/>
      <c r="K11" s="336"/>
      <c r="L11" s="336"/>
      <c r="M11" s="337"/>
      <c r="N11" s="338">
        <f t="shared" si="0"/>
        <v>0</v>
      </c>
      <c r="O11" s="339"/>
      <c r="P11" s="337"/>
      <c r="Q11" s="336"/>
      <c r="R11" s="336"/>
      <c r="S11" s="337"/>
      <c r="T11" s="337"/>
      <c r="U11" s="337"/>
      <c r="V11" s="337"/>
      <c r="W11" s="337"/>
      <c r="X11" s="337"/>
      <c r="Y11" s="337"/>
      <c r="Z11" s="337">
        <v>0.1</v>
      </c>
      <c r="AA11" s="338">
        <f t="shared" si="1"/>
        <v>0.1</v>
      </c>
      <c r="AB11" s="340">
        <f t="shared" si="2"/>
        <v>0.1</v>
      </c>
      <c r="AC11" s="341">
        <v>1.1</v>
      </c>
      <c r="AD11" s="342">
        <v>1.1</v>
      </c>
    </row>
    <row r="12" spans="2:30" ht="54" customHeight="1" thickBot="1">
      <c r="B12" s="157" t="s">
        <v>252</v>
      </c>
      <c r="C12" s="349">
        <f>SUM(C8:C11)</f>
        <v>0</v>
      </c>
      <c r="D12" s="350">
        <f aca="true" t="shared" si="3" ref="D12:AD12">SUM(D8:D11)</f>
        <v>0</v>
      </c>
      <c r="E12" s="350">
        <f t="shared" si="3"/>
        <v>0</v>
      </c>
      <c r="F12" s="350">
        <f t="shared" si="3"/>
        <v>0</v>
      </c>
      <c r="G12" s="350">
        <f t="shared" si="3"/>
        <v>0</v>
      </c>
      <c r="H12" s="350">
        <f t="shared" si="3"/>
        <v>0</v>
      </c>
      <c r="I12" s="350">
        <f t="shared" si="3"/>
        <v>2.22</v>
      </c>
      <c r="J12" s="350">
        <f t="shared" si="3"/>
        <v>0</v>
      </c>
      <c r="K12" s="350">
        <f t="shared" si="3"/>
        <v>0</v>
      </c>
      <c r="L12" s="350">
        <f t="shared" si="3"/>
        <v>0</v>
      </c>
      <c r="M12" s="350">
        <f t="shared" si="3"/>
        <v>0</v>
      </c>
      <c r="N12" s="351">
        <f t="shared" si="0"/>
        <v>2.22</v>
      </c>
      <c r="O12" s="350">
        <f t="shared" si="3"/>
        <v>0</v>
      </c>
      <c r="P12" s="350">
        <f t="shared" si="3"/>
        <v>0</v>
      </c>
      <c r="Q12" s="350">
        <f t="shared" si="3"/>
        <v>3.96</v>
      </c>
      <c r="R12" s="350">
        <f t="shared" si="3"/>
        <v>1.1</v>
      </c>
      <c r="S12" s="350">
        <f t="shared" si="3"/>
        <v>2</v>
      </c>
      <c r="T12" s="350">
        <f t="shared" si="3"/>
        <v>0.5</v>
      </c>
      <c r="U12" s="350">
        <f t="shared" si="3"/>
        <v>0</v>
      </c>
      <c r="V12" s="350">
        <f t="shared" si="3"/>
        <v>0</v>
      </c>
      <c r="W12" s="350">
        <f t="shared" si="3"/>
        <v>0</v>
      </c>
      <c r="X12" s="350">
        <f t="shared" si="3"/>
        <v>0</v>
      </c>
      <c r="Y12" s="350">
        <f t="shared" si="3"/>
        <v>0.19</v>
      </c>
      <c r="Z12" s="350">
        <f t="shared" si="3"/>
        <v>0.31</v>
      </c>
      <c r="AA12" s="352">
        <f t="shared" si="1"/>
        <v>6.96</v>
      </c>
      <c r="AB12" s="353">
        <f t="shared" si="2"/>
        <v>9.18</v>
      </c>
      <c r="AC12" s="351">
        <f t="shared" si="3"/>
        <v>52.56</v>
      </c>
      <c r="AD12" s="351">
        <f t="shared" si="3"/>
        <v>51.800000000000004</v>
      </c>
    </row>
    <row r="13" spans="1:31" ht="54" customHeight="1">
      <c r="A13" s="74"/>
      <c r="B13" s="200" t="s">
        <v>221</v>
      </c>
      <c r="C13" s="354" t="s">
        <v>292</v>
      </c>
      <c r="D13" s="355" t="s">
        <v>292</v>
      </c>
      <c r="E13" s="356" t="s">
        <v>292</v>
      </c>
      <c r="F13" s="355" t="s">
        <v>292</v>
      </c>
      <c r="G13" s="355">
        <v>0.3</v>
      </c>
      <c r="H13" s="355">
        <v>0.38</v>
      </c>
      <c r="I13" s="355">
        <v>8.6</v>
      </c>
      <c r="J13" s="355" t="s">
        <v>292</v>
      </c>
      <c r="K13" s="355">
        <v>0.51</v>
      </c>
      <c r="L13" s="355" t="s">
        <v>292</v>
      </c>
      <c r="M13" s="356" t="s">
        <v>292</v>
      </c>
      <c r="N13" s="357">
        <f t="shared" si="0"/>
        <v>9.79</v>
      </c>
      <c r="O13" s="358">
        <v>0.2</v>
      </c>
      <c r="P13" s="356" t="s">
        <v>292</v>
      </c>
      <c r="Q13" s="355">
        <v>63.43</v>
      </c>
      <c r="R13" s="355">
        <v>2.6</v>
      </c>
      <c r="S13" s="356">
        <v>6.71</v>
      </c>
      <c r="T13" s="356" t="s">
        <v>292</v>
      </c>
      <c r="U13" s="356" t="s">
        <v>292</v>
      </c>
      <c r="V13" s="356" t="s">
        <v>292</v>
      </c>
      <c r="W13" s="356">
        <v>0.1</v>
      </c>
      <c r="X13" s="356">
        <v>0.06</v>
      </c>
      <c r="Y13" s="356">
        <v>3.8800000000000003</v>
      </c>
      <c r="Z13" s="356" t="s">
        <v>292</v>
      </c>
      <c r="AA13" s="357">
        <f t="shared" si="1"/>
        <v>74.32</v>
      </c>
      <c r="AB13" s="359">
        <f t="shared" si="2"/>
        <v>84.10999999999999</v>
      </c>
      <c r="AC13" s="360">
        <v>1077.7788</v>
      </c>
      <c r="AD13" s="361">
        <v>1004.1999999999999</v>
      </c>
      <c r="AE13" s="1">
        <v>0</v>
      </c>
    </row>
    <row r="14" spans="1:30" ht="54" customHeight="1">
      <c r="A14" s="74"/>
      <c r="B14" s="199" t="s">
        <v>302</v>
      </c>
      <c r="C14" s="335"/>
      <c r="D14" s="336"/>
      <c r="E14" s="337">
        <v>0.1</v>
      </c>
      <c r="F14" s="336"/>
      <c r="G14" s="336"/>
      <c r="H14" s="336"/>
      <c r="I14" s="336">
        <v>3.15</v>
      </c>
      <c r="J14" s="336"/>
      <c r="K14" s="336"/>
      <c r="L14" s="336"/>
      <c r="M14" s="337"/>
      <c r="N14" s="338">
        <f t="shared" si="0"/>
        <v>3.25</v>
      </c>
      <c r="O14" s="339"/>
      <c r="P14" s="337"/>
      <c r="Q14" s="336">
        <v>68.1</v>
      </c>
      <c r="R14" s="336">
        <v>2.8</v>
      </c>
      <c r="S14" s="337">
        <v>5.37</v>
      </c>
      <c r="T14" s="337"/>
      <c r="U14" s="337">
        <v>0.03</v>
      </c>
      <c r="V14" s="337">
        <v>0.15</v>
      </c>
      <c r="W14" s="337"/>
      <c r="X14" s="337"/>
      <c r="Y14" s="337"/>
      <c r="Z14" s="337">
        <v>0.27</v>
      </c>
      <c r="AA14" s="338">
        <f t="shared" si="1"/>
        <v>73.92</v>
      </c>
      <c r="AB14" s="340">
        <f t="shared" si="2"/>
        <v>77.17</v>
      </c>
      <c r="AC14" s="341">
        <v>351</v>
      </c>
      <c r="AD14" s="342">
        <v>334.5</v>
      </c>
    </row>
    <row r="15" spans="1:30" ht="54" customHeight="1">
      <c r="A15" s="74"/>
      <c r="B15" s="199" t="s">
        <v>220</v>
      </c>
      <c r="C15" s="704"/>
      <c r="D15" s="705"/>
      <c r="E15" s="706"/>
      <c r="F15" s="705"/>
      <c r="G15" s="705"/>
      <c r="H15" s="664">
        <v>0.1</v>
      </c>
      <c r="I15" s="666">
        <v>2.5</v>
      </c>
      <c r="J15" s="705"/>
      <c r="K15" s="666">
        <f>(0.7-0.4)/3+0.7</f>
        <v>0.7999999999999999</v>
      </c>
      <c r="L15" s="705"/>
      <c r="M15" s="706"/>
      <c r="N15" s="707">
        <f>SUM(C15:M15)</f>
        <v>3.4</v>
      </c>
      <c r="O15" s="708"/>
      <c r="P15" s="706"/>
      <c r="Q15" s="665">
        <f>(21-25.4)/3+21</f>
        <v>19.533333333333335</v>
      </c>
      <c r="R15" s="665">
        <f>(1.9-2)/1+1.9</f>
        <v>1.7999999999999998</v>
      </c>
      <c r="S15" s="666">
        <v>2.3</v>
      </c>
      <c r="T15" s="706"/>
      <c r="U15" s="706"/>
      <c r="V15" s="666">
        <f>(1.5-0.3)/3+1.5</f>
        <v>1.9</v>
      </c>
      <c r="W15" s="665">
        <f>(4.6-9.1)/3+4.6</f>
        <v>3.0999999999999996</v>
      </c>
      <c r="X15" s="706">
        <f>W15</f>
        <v>3.0999999999999996</v>
      </c>
      <c r="Y15" s="706"/>
      <c r="Z15" s="706"/>
      <c r="AA15" s="707">
        <f>SUM(O15:Q15,S15:W15,Y15:Z15)</f>
        <v>26.833333333333336</v>
      </c>
      <c r="AB15" s="709">
        <f>N15+AA15</f>
        <v>30.233333333333334</v>
      </c>
      <c r="AC15" s="667">
        <f>315.2/32.3*AB15</f>
        <v>295.0324045407637</v>
      </c>
      <c r="AD15" s="710">
        <f>AC15</f>
        <v>295.0324045407637</v>
      </c>
    </row>
    <row r="16" spans="1:30" ht="54" customHeight="1">
      <c r="A16" s="74"/>
      <c r="B16" s="199" t="s">
        <v>222</v>
      </c>
      <c r="C16" s="335"/>
      <c r="D16" s="336"/>
      <c r="E16" s="337"/>
      <c r="F16" s="336"/>
      <c r="G16" s="336"/>
      <c r="H16" s="336"/>
      <c r="I16" s="336">
        <v>0.07</v>
      </c>
      <c r="J16" s="336"/>
      <c r="K16" s="336"/>
      <c r="L16" s="336"/>
      <c r="M16" s="337"/>
      <c r="N16" s="338">
        <f t="shared" si="0"/>
        <v>0.07</v>
      </c>
      <c r="O16" s="339"/>
      <c r="P16" s="337"/>
      <c r="Q16" s="336">
        <v>0.35</v>
      </c>
      <c r="R16" s="336">
        <v>0.35</v>
      </c>
      <c r="S16" s="337">
        <v>0.55</v>
      </c>
      <c r="T16" s="337"/>
      <c r="U16" s="337"/>
      <c r="V16" s="337">
        <v>0.07</v>
      </c>
      <c r="W16" s="337">
        <v>1.1</v>
      </c>
      <c r="X16" s="337"/>
      <c r="Y16" s="337"/>
      <c r="Z16" s="337"/>
      <c r="AA16" s="338">
        <f t="shared" si="1"/>
        <v>2.0700000000000003</v>
      </c>
      <c r="AB16" s="340">
        <f t="shared" si="2"/>
        <v>2.14</v>
      </c>
      <c r="AC16" s="341">
        <v>17.9</v>
      </c>
      <c r="AD16" s="342">
        <v>17.9</v>
      </c>
    </row>
    <row r="17" spans="2:30" ht="54" customHeight="1" thickBot="1">
      <c r="B17" s="121" t="s">
        <v>253</v>
      </c>
      <c r="C17" s="362">
        <f>SUM(C13:C16)</f>
        <v>0</v>
      </c>
      <c r="D17" s="363">
        <f aca="true" t="shared" si="4" ref="D17:AD17">SUM(D13:D16)</f>
        <v>0</v>
      </c>
      <c r="E17" s="363">
        <f t="shared" si="4"/>
        <v>0.1</v>
      </c>
      <c r="F17" s="363">
        <f t="shared" si="4"/>
        <v>0</v>
      </c>
      <c r="G17" s="363">
        <f t="shared" si="4"/>
        <v>0.3</v>
      </c>
      <c r="H17" s="363">
        <f t="shared" si="4"/>
        <v>0.48</v>
      </c>
      <c r="I17" s="363">
        <f t="shared" si="4"/>
        <v>14.32</v>
      </c>
      <c r="J17" s="363">
        <f t="shared" si="4"/>
        <v>0</v>
      </c>
      <c r="K17" s="363">
        <f t="shared" si="4"/>
        <v>1.31</v>
      </c>
      <c r="L17" s="363">
        <f t="shared" si="4"/>
        <v>0</v>
      </c>
      <c r="M17" s="363">
        <f t="shared" si="4"/>
        <v>0</v>
      </c>
      <c r="N17" s="364">
        <f t="shared" si="0"/>
        <v>16.51</v>
      </c>
      <c r="O17" s="362">
        <f t="shared" si="4"/>
        <v>0.2</v>
      </c>
      <c r="P17" s="363">
        <f t="shared" si="4"/>
        <v>0</v>
      </c>
      <c r="Q17" s="363">
        <f t="shared" si="4"/>
        <v>151.41333333333333</v>
      </c>
      <c r="R17" s="363">
        <f t="shared" si="4"/>
        <v>7.55</v>
      </c>
      <c r="S17" s="363">
        <f t="shared" si="4"/>
        <v>14.93</v>
      </c>
      <c r="T17" s="363">
        <f t="shared" si="4"/>
        <v>0</v>
      </c>
      <c r="U17" s="363">
        <f t="shared" si="4"/>
        <v>0.03</v>
      </c>
      <c r="V17" s="363">
        <f t="shared" si="4"/>
        <v>2.1199999999999997</v>
      </c>
      <c r="W17" s="363">
        <f t="shared" si="4"/>
        <v>4.3</v>
      </c>
      <c r="X17" s="363">
        <f t="shared" si="4"/>
        <v>3.1599999999999997</v>
      </c>
      <c r="Y17" s="363">
        <f t="shared" si="4"/>
        <v>3.8800000000000003</v>
      </c>
      <c r="Z17" s="363">
        <f t="shared" si="4"/>
        <v>0.27</v>
      </c>
      <c r="AA17" s="364">
        <f t="shared" si="1"/>
        <v>177.14333333333335</v>
      </c>
      <c r="AB17" s="365">
        <f t="shared" si="2"/>
        <v>193.65333333333334</v>
      </c>
      <c r="AC17" s="366">
        <f t="shared" si="4"/>
        <v>1741.711204540764</v>
      </c>
      <c r="AD17" s="366">
        <f t="shared" si="4"/>
        <v>1651.6324045407637</v>
      </c>
    </row>
    <row r="18" spans="2:30" ht="52.5" customHeight="1">
      <c r="B18" s="68" t="s">
        <v>244</v>
      </c>
      <c r="C18" s="335"/>
      <c r="D18" s="336"/>
      <c r="E18" s="337"/>
      <c r="F18" s="336"/>
      <c r="G18" s="336"/>
      <c r="H18" s="336"/>
      <c r="I18" s="336">
        <v>0.1</v>
      </c>
      <c r="J18" s="336"/>
      <c r="K18" s="336"/>
      <c r="L18" s="336"/>
      <c r="M18" s="337"/>
      <c r="N18" s="338">
        <v>0.1</v>
      </c>
      <c r="O18" s="339"/>
      <c r="P18" s="337"/>
      <c r="Q18" s="336">
        <v>2.4</v>
      </c>
      <c r="R18" s="336"/>
      <c r="S18" s="337">
        <v>0.1</v>
      </c>
      <c r="T18" s="337"/>
      <c r="U18" s="337">
        <v>1.5</v>
      </c>
      <c r="V18" s="337"/>
      <c r="W18" s="337">
        <v>0.7</v>
      </c>
      <c r="X18" s="337"/>
      <c r="Y18" s="337"/>
      <c r="Z18" s="337"/>
      <c r="AA18" s="338">
        <f t="shared" si="1"/>
        <v>4.7</v>
      </c>
      <c r="AB18" s="340">
        <f t="shared" si="2"/>
        <v>4.8</v>
      </c>
      <c r="AC18" s="341">
        <v>47.9</v>
      </c>
      <c r="AD18" s="342">
        <v>46</v>
      </c>
    </row>
    <row r="19" spans="1:30" ht="54" customHeight="1">
      <c r="A19" s="74"/>
      <c r="B19" s="68" t="s">
        <v>289</v>
      </c>
      <c r="C19" s="335"/>
      <c r="D19" s="336"/>
      <c r="E19" s="337"/>
      <c r="F19" s="336"/>
      <c r="G19" s="336"/>
      <c r="H19" s="336"/>
      <c r="I19" s="336"/>
      <c r="J19" s="336"/>
      <c r="K19" s="336"/>
      <c r="L19" s="336"/>
      <c r="M19" s="337"/>
      <c r="N19" s="338"/>
      <c r="O19" s="339"/>
      <c r="P19" s="337"/>
      <c r="Q19" s="336">
        <v>2.4</v>
      </c>
      <c r="R19" s="336"/>
      <c r="S19" s="337"/>
      <c r="T19" s="337"/>
      <c r="U19" s="337">
        <v>0.3</v>
      </c>
      <c r="V19" s="337"/>
      <c r="W19" s="337"/>
      <c r="X19" s="337"/>
      <c r="Y19" s="337"/>
      <c r="Z19" s="337"/>
      <c r="AA19" s="338">
        <f t="shared" si="1"/>
        <v>2.6999999999999997</v>
      </c>
      <c r="AB19" s="340">
        <f t="shared" si="2"/>
        <v>2.6999999999999997</v>
      </c>
      <c r="AC19" s="341">
        <v>3</v>
      </c>
      <c r="AD19" s="342">
        <v>1.3</v>
      </c>
    </row>
    <row r="20" spans="2:30" ht="54" customHeight="1" thickBot="1">
      <c r="B20" s="121" t="s">
        <v>254</v>
      </c>
      <c r="C20" s="362">
        <f>SUM(C18:C19)</f>
        <v>0</v>
      </c>
      <c r="D20" s="363">
        <f aca="true" t="shared" si="5" ref="D20:AD20">SUM(D18:D19)</f>
        <v>0</v>
      </c>
      <c r="E20" s="363">
        <f t="shared" si="5"/>
        <v>0</v>
      </c>
      <c r="F20" s="363">
        <f t="shared" si="5"/>
        <v>0</v>
      </c>
      <c r="G20" s="363">
        <f t="shared" si="5"/>
        <v>0</v>
      </c>
      <c r="H20" s="363">
        <f t="shared" si="5"/>
        <v>0</v>
      </c>
      <c r="I20" s="363">
        <f t="shared" si="5"/>
        <v>0.1</v>
      </c>
      <c r="J20" s="363">
        <f t="shared" si="5"/>
        <v>0</v>
      </c>
      <c r="K20" s="363">
        <f t="shared" si="5"/>
        <v>0</v>
      </c>
      <c r="L20" s="363">
        <f t="shared" si="5"/>
        <v>0</v>
      </c>
      <c r="M20" s="363">
        <f t="shared" si="5"/>
        <v>0</v>
      </c>
      <c r="N20" s="364">
        <f>SUM(C20:M20)</f>
        <v>0.1</v>
      </c>
      <c r="O20" s="362">
        <f t="shared" si="5"/>
        <v>0</v>
      </c>
      <c r="P20" s="363">
        <f t="shared" si="5"/>
        <v>0</v>
      </c>
      <c r="Q20" s="363">
        <f t="shared" si="5"/>
        <v>4.8</v>
      </c>
      <c r="R20" s="363">
        <f t="shared" si="5"/>
        <v>0</v>
      </c>
      <c r="S20" s="363">
        <f t="shared" si="5"/>
        <v>0.1</v>
      </c>
      <c r="T20" s="363">
        <f t="shared" si="5"/>
        <v>0</v>
      </c>
      <c r="U20" s="363">
        <f t="shared" si="5"/>
        <v>1.8</v>
      </c>
      <c r="V20" s="363">
        <f t="shared" si="5"/>
        <v>0</v>
      </c>
      <c r="W20" s="363">
        <f t="shared" si="5"/>
        <v>0.7</v>
      </c>
      <c r="X20" s="363">
        <f t="shared" si="5"/>
        <v>0</v>
      </c>
      <c r="Y20" s="363">
        <f t="shared" si="5"/>
        <v>0</v>
      </c>
      <c r="Z20" s="363">
        <f t="shared" si="5"/>
        <v>0</v>
      </c>
      <c r="AA20" s="364">
        <f t="shared" si="1"/>
        <v>7.3999999999999995</v>
      </c>
      <c r="AB20" s="365">
        <f t="shared" si="5"/>
        <v>7.5</v>
      </c>
      <c r="AC20" s="366">
        <f t="shared" si="5"/>
        <v>50.9</v>
      </c>
      <c r="AD20" s="366">
        <f t="shared" si="5"/>
        <v>47.3</v>
      </c>
    </row>
    <row r="21" spans="1:30" ht="54" customHeight="1">
      <c r="A21" s="74"/>
      <c r="B21" s="68" t="s">
        <v>228</v>
      </c>
      <c r="C21" s="335"/>
      <c r="D21" s="336"/>
      <c r="E21" s="337">
        <v>0.2</v>
      </c>
      <c r="F21" s="336"/>
      <c r="G21" s="336">
        <v>0.1</v>
      </c>
      <c r="H21" s="336"/>
      <c r="I21" s="336"/>
      <c r="J21" s="336"/>
      <c r="K21" s="336">
        <v>0.2</v>
      </c>
      <c r="L21" s="336"/>
      <c r="M21" s="337"/>
      <c r="N21" s="338">
        <f>SUM(C21:M21)</f>
        <v>0.5</v>
      </c>
      <c r="O21" s="339"/>
      <c r="P21" s="337"/>
      <c r="Q21" s="336">
        <v>4.4</v>
      </c>
      <c r="R21" s="336"/>
      <c r="S21" s="337">
        <v>1.1</v>
      </c>
      <c r="T21" s="337"/>
      <c r="U21" s="337"/>
      <c r="V21" s="337"/>
      <c r="W21" s="337"/>
      <c r="X21" s="337"/>
      <c r="Y21" s="337"/>
      <c r="Z21" s="337"/>
      <c r="AA21" s="338">
        <f t="shared" si="1"/>
        <v>5.5</v>
      </c>
      <c r="AB21" s="340">
        <f>SUM(N21,AA21)</f>
        <v>6</v>
      </c>
      <c r="AC21" s="341">
        <v>90</v>
      </c>
      <c r="AD21" s="342">
        <v>90</v>
      </c>
    </row>
    <row r="22" spans="1:30" ht="54" customHeight="1">
      <c r="A22" s="74"/>
      <c r="B22" s="154" t="s">
        <v>229</v>
      </c>
      <c r="C22" s="367"/>
      <c r="D22" s="368"/>
      <c r="E22" s="369">
        <v>0.01</v>
      </c>
      <c r="F22" s="368"/>
      <c r="G22" s="368">
        <v>0.30000000000000004</v>
      </c>
      <c r="H22" s="368"/>
      <c r="I22" s="368">
        <v>1</v>
      </c>
      <c r="J22" s="368"/>
      <c r="K22" s="368">
        <v>0.4</v>
      </c>
      <c r="L22" s="368"/>
      <c r="M22" s="369"/>
      <c r="N22" s="370">
        <f aca="true" t="shared" si="6" ref="N22:N30">SUM(C22:M22)</f>
        <v>1.71</v>
      </c>
      <c r="O22" s="371"/>
      <c r="P22" s="369"/>
      <c r="Q22" s="368">
        <v>1.5</v>
      </c>
      <c r="R22" s="368">
        <v>1.5</v>
      </c>
      <c r="S22" s="369">
        <v>1.5</v>
      </c>
      <c r="T22" s="369"/>
      <c r="U22" s="369"/>
      <c r="V22" s="369"/>
      <c r="W22" s="369"/>
      <c r="X22" s="369"/>
      <c r="Y22" s="369"/>
      <c r="Z22" s="369"/>
      <c r="AA22" s="370">
        <f aca="true" t="shared" si="7" ref="AA22:AA30">SUM(O22:Q22,S22:W22,Y22:Z22)</f>
        <v>3</v>
      </c>
      <c r="AB22" s="372">
        <f aca="true" t="shared" si="8" ref="AB22:AB30">SUM(N22,AA22)</f>
        <v>4.71</v>
      </c>
      <c r="AC22" s="373">
        <v>21.8</v>
      </c>
      <c r="AD22" s="374">
        <v>21.8</v>
      </c>
    </row>
    <row r="23" spans="1:30" ht="54" customHeight="1">
      <c r="A23" s="74"/>
      <c r="B23" s="68" t="s">
        <v>230</v>
      </c>
      <c r="C23" s="335"/>
      <c r="D23" s="336"/>
      <c r="E23" s="337"/>
      <c r="F23" s="336"/>
      <c r="G23" s="336">
        <v>0.02</v>
      </c>
      <c r="H23" s="336"/>
      <c r="I23" s="336">
        <v>0.16</v>
      </c>
      <c r="J23" s="336"/>
      <c r="K23" s="336">
        <v>0.02</v>
      </c>
      <c r="L23" s="336"/>
      <c r="M23" s="337"/>
      <c r="N23" s="370">
        <f t="shared" si="6"/>
        <v>0.19999999999999998</v>
      </c>
      <c r="O23" s="339"/>
      <c r="P23" s="337">
        <v>0.075</v>
      </c>
      <c r="Q23" s="336">
        <v>0.865</v>
      </c>
      <c r="R23" s="336">
        <v>0.06</v>
      </c>
      <c r="S23" s="337">
        <v>0.035</v>
      </c>
      <c r="T23" s="337"/>
      <c r="U23" s="337"/>
      <c r="V23" s="337"/>
      <c r="W23" s="337"/>
      <c r="X23" s="337"/>
      <c r="Y23" s="337"/>
      <c r="Z23" s="337">
        <v>0.085</v>
      </c>
      <c r="AA23" s="370">
        <f t="shared" si="7"/>
        <v>1.06</v>
      </c>
      <c r="AB23" s="372">
        <f t="shared" si="8"/>
        <v>1.26</v>
      </c>
      <c r="AC23" s="341">
        <v>12.8</v>
      </c>
      <c r="AD23" s="342">
        <v>12.8</v>
      </c>
    </row>
    <row r="24" spans="1:30" ht="54" customHeight="1">
      <c r="A24" s="74"/>
      <c r="B24" s="68" t="s">
        <v>224</v>
      </c>
      <c r="C24" s="335"/>
      <c r="D24" s="336">
        <v>0.1</v>
      </c>
      <c r="E24" s="337">
        <v>0.1</v>
      </c>
      <c r="F24" s="336"/>
      <c r="G24" s="336">
        <v>0.2</v>
      </c>
      <c r="H24" s="336"/>
      <c r="I24" s="336">
        <v>1</v>
      </c>
      <c r="J24" s="336"/>
      <c r="K24" s="336">
        <v>0.3</v>
      </c>
      <c r="L24" s="336"/>
      <c r="M24" s="337"/>
      <c r="N24" s="338">
        <f t="shared" si="6"/>
        <v>1.7</v>
      </c>
      <c r="O24" s="339"/>
      <c r="P24" s="337"/>
      <c r="Q24" s="336">
        <v>16</v>
      </c>
      <c r="R24" s="336">
        <v>0.2</v>
      </c>
      <c r="S24" s="337">
        <v>1.5</v>
      </c>
      <c r="T24" s="337"/>
      <c r="U24" s="337"/>
      <c r="V24" s="337"/>
      <c r="W24" s="337">
        <v>0.2</v>
      </c>
      <c r="X24" s="337">
        <v>0.2</v>
      </c>
      <c r="Y24" s="337">
        <v>0.2</v>
      </c>
      <c r="Z24" s="337">
        <v>2</v>
      </c>
      <c r="AA24" s="338">
        <f t="shared" si="7"/>
        <v>19.9</v>
      </c>
      <c r="AB24" s="340">
        <f t="shared" si="8"/>
        <v>21.599999999999998</v>
      </c>
      <c r="AC24" s="341">
        <v>180</v>
      </c>
      <c r="AD24" s="342">
        <v>180</v>
      </c>
    </row>
    <row r="25" spans="1:30" ht="54" customHeight="1">
      <c r="A25" s="74"/>
      <c r="B25" s="68" t="s">
        <v>225</v>
      </c>
      <c r="C25" s="335"/>
      <c r="D25" s="336"/>
      <c r="E25" s="337"/>
      <c r="F25" s="344">
        <v>0.01</v>
      </c>
      <c r="G25" s="336"/>
      <c r="H25" s="336"/>
      <c r="I25" s="336">
        <v>2</v>
      </c>
      <c r="J25" s="336"/>
      <c r="K25" s="336">
        <v>0.06</v>
      </c>
      <c r="L25" s="336"/>
      <c r="M25" s="337"/>
      <c r="N25" s="338">
        <f t="shared" si="6"/>
        <v>2.07</v>
      </c>
      <c r="O25" s="339"/>
      <c r="P25" s="337"/>
      <c r="Q25" s="336">
        <v>2</v>
      </c>
      <c r="R25" s="336">
        <v>2</v>
      </c>
      <c r="S25" s="337">
        <v>2.5</v>
      </c>
      <c r="T25" s="337"/>
      <c r="U25" s="337"/>
      <c r="V25" s="337"/>
      <c r="W25" s="337"/>
      <c r="X25" s="337"/>
      <c r="Y25" s="337"/>
      <c r="Z25" s="337"/>
      <c r="AA25" s="338">
        <f t="shared" si="7"/>
        <v>4.5</v>
      </c>
      <c r="AB25" s="340">
        <f t="shared" si="8"/>
        <v>6.57</v>
      </c>
      <c r="AC25" s="341">
        <v>12.4</v>
      </c>
      <c r="AD25" s="342">
        <v>12.4</v>
      </c>
    </row>
    <row r="26" spans="1:30" ht="54" customHeight="1">
      <c r="A26" s="74"/>
      <c r="B26" s="68" t="s">
        <v>231</v>
      </c>
      <c r="C26" s="335"/>
      <c r="D26" s="336"/>
      <c r="E26" s="337"/>
      <c r="F26" s="336"/>
      <c r="G26" s="336"/>
      <c r="H26" s="336"/>
      <c r="I26" s="336">
        <v>3</v>
      </c>
      <c r="J26" s="336"/>
      <c r="K26" s="336"/>
      <c r="L26" s="336"/>
      <c r="M26" s="337"/>
      <c r="N26" s="338">
        <f t="shared" si="6"/>
        <v>3</v>
      </c>
      <c r="O26" s="339"/>
      <c r="P26" s="337"/>
      <c r="Q26" s="336">
        <v>47</v>
      </c>
      <c r="R26" s="336">
        <v>0</v>
      </c>
      <c r="S26" s="337"/>
      <c r="T26" s="337"/>
      <c r="U26" s="337"/>
      <c r="V26" s="337"/>
      <c r="W26" s="337"/>
      <c r="X26" s="337"/>
      <c r="Y26" s="337"/>
      <c r="Z26" s="337"/>
      <c r="AA26" s="338">
        <f t="shared" si="7"/>
        <v>47</v>
      </c>
      <c r="AB26" s="340">
        <f t="shared" si="8"/>
        <v>50</v>
      </c>
      <c r="AC26" s="341">
        <v>65</v>
      </c>
      <c r="AD26" s="342">
        <v>65</v>
      </c>
    </row>
    <row r="27" spans="1:30" ht="54" customHeight="1">
      <c r="A27" s="74"/>
      <c r="B27" s="68" t="s">
        <v>227</v>
      </c>
      <c r="C27" s="335"/>
      <c r="D27" s="336"/>
      <c r="E27" s="337"/>
      <c r="F27" s="336"/>
      <c r="G27" s="336"/>
      <c r="H27" s="336"/>
      <c r="I27" s="336"/>
      <c r="J27" s="336"/>
      <c r="K27" s="336">
        <v>0.3</v>
      </c>
      <c r="L27" s="336"/>
      <c r="M27" s="337">
        <v>0.2</v>
      </c>
      <c r="N27" s="338">
        <f t="shared" si="6"/>
        <v>0.5</v>
      </c>
      <c r="O27" s="339"/>
      <c r="P27" s="337"/>
      <c r="Q27" s="336">
        <v>2</v>
      </c>
      <c r="R27" s="336">
        <v>2</v>
      </c>
      <c r="S27" s="337"/>
      <c r="T27" s="337"/>
      <c r="U27" s="337"/>
      <c r="V27" s="337"/>
      <c r="W27" s="337">
        <v>4</v>
      </c>
      <c r="X27" s="337">
        <v>4</v>
      </c>
      <c r="Y27" s="337"/>
      <c r="Z27" s="337"/>
      <c r="AA27" s="338">
        <f t="shared" si="7"/>
        <v>6</v>
      </c>
      <c r="AB27" s="340">
        <f t="shared" si="8"/>
        <v>6.5</v>
      </c>
      <c r="AC27" s="341">
        <v>118</v>
      </c>
      <c r="AD27" s="342">
        <v>110</v>
      </c>
    </row>
    <row r="28" spans="1:30" ht="54" customHeight="1">
      <c r="A28" s="74"/>
      <c r="B28" s="68" t="s">
        <v>233</v>
      </c>
      <c r="C28" s="335"/>
      <c r="D28" s="336"/>
      <c r="E28" s="337"/>
      <c r="F28" s="336"/>
      <c r="G28" s="336"/>
      <c r="H28" s="336"/>
      <c r="I28" s="336"/>
      <c r="J28" s="336"/>
      <c r="K28" s="336"/>
      <c r="L28" s="336"/>
      <c r="M28" s="337"/>
      <c r="N28" s="338">
        <f t="shared" si="6"/>
        <v>0</v>
      </c>
      <c r="O28" s="339"/>
      <c r="P28" s="337"/>
      <c r="Q28" s="336">
        <v>0.3</v>
      </c>
      <c r="R28" s="336"/>
      <c r="S28" s="337"/>
      <c r="T28" s="337"/>
      <c r="U28" s="337"/>
      <c r="V28" s="337"/>
      <c r="W28" s="337"/>
      <c r="X28" s="337"/>
      <c r="Y28" s="337"/>
      <c r="Z28" s="337"/>
      <c r="AA28" s="338">
        <f t="shared" si="7"/>
        <v>0.3</v>
      </c>
      <c r="AB28" s="340">
        <f t="shared" si="8"/>
        <v>0.3</v>
      </c>
      <c r="AC28" s="341">
        <v>1</v>
      </c>
      <c r="AD28" s="342">
        <v>0.9</v>
      </c>
    </row>
    <row r="29" spans="1:30" ht="54" customHeight="1">
      <c r="A29" s="74"/>
      <c r="B29" s="68" t="s">
        <v>234</v>
      </c>
      <c r="C29" s="335"/>
      <c r="D29" s="336"/>
      <c r="E29" s="337"/>
      <c r="F29" s="336"/>
      <c r="G29" s="336"/>
      <c r="H29" s="336"/>
      <c r="I29" s="336"/>
      <c r="J29" s="336"/>
      <c r="K29" s="336"/>
      <c r="L29" s="336"/>
      <c r="M29" s="337"/>
      <c r="N29" s="338">
        <f t="shared" si="6"/>
        <v>0</v>
      </c>
      <c r="O29" s="339"/>
      <c r="P29" s="337"/>
      <c r="Q29" s="336">
        <v>0.5</v>
      </c>
      <c r="R29" s="336"/>
      <c r="S29" s="337"/>
      <c r="T29" s="337"/>
      <c r="U29" s="337"/>
      <c r="V29" s="337"/>
      <c r="W29" s="337"/>
      <c r="X29" s="337"/>
      <c r="Y29" s="337"/>
      <c r="Z29" s="337"/>
      <c r="AA29" s="338">
        <f t="shared" si="7"/>
        <v>0.5</v>
      </c>
      <c r="AB29" s="340">
        <f t="shared" si="8"/>
        <v>0.5</v>
      </c>
      <c r="AC29" s="341">
        <v>5.8</v>
      </c>
      <c r="AD29" s="342">
        <v>5.8</v>
      </c>
    </row>
    <row r="30" spans="2:30" ht="54" customHeight="1" thickBot="1">
      <c r="B30" s="121" t="s">
        <v>257</v>
      </c>
      <c r="C30" s="362">
        <f>SUM(C21:C29)</f>
        <v>0</v>
      </c>
      <c r="D30" s="363">
        <f aca="true" t="shared" si="9" ref="D30:AD30">SUM(D21:D29)</f>
        <v>0.1</v>
      </c>
      <c r="E30" s="363">
        <f t="shared" si="9"/>
        <v>0.31000000000000005</v>
      </c>
      <c r="F30" s="363">
        <f t="shared" si="9"/>
        <v>0.01</v>
      </c>
      <c r="G30" s="363">
        <f t="shared" si="9"/>
        <v>0.6200000000000001</v>
      </c>
      <c r="H30" s="363">
        <f t="shared" si="9"/>
        <v>0</v>
      </c>
      <c r="I30" s="363">
        <f t="shared" si="9"/>
        <v>7.16</v>
      </c>
      <c r="J30" s="363">
        <f t="shared" si="9"/>
        <v>0</v>
      </c>
      <c r="K30" s="363">
        <f t="shared" si="9"/>
        <v>1.2800000000000002</v>
      </c>
      <c r="L30" s="363">
        <f t="shared" si="9"/>
        <v>0</v>
      </c>
      <c r="M30" s="363">
        <f t="shared" si="9"/>
        <v>0.2</v>
      </c>
      <c r="N30" s="364">
        <f t="shared" si="6"/>
        <v>9.68</v>
      </c>
      <c r="O30" s="362">
        <f t="shared" si="9"/>
        <v>0</v>
      </c>
      <c r="P30" s="363">
        <f t="shared" si="9"/>
        <v>0.075</v>
      </c>
      <c r="Q30" s="363">
        <f t="shared" si="9"/>
        <v>74.565</v>
      </c>
      <c r="R30" s="363">
        <f t="shared" si="9"/>
        <v>5.76</v>
      </c>
      <c r="S30" s="363">
        <f t="shared" si="9"/>
        <v>6.635</v>
      </c>
      <c r="T30" s="363">
        <f t="shared" si="9"/>
        <v>0</v>
      </c>
      <c r="U30" s="363">
        <f t="shared" si="9"/>
        <v>0</v>
      </c>
      <c r="V30" s="363">
        <f t="shared" si="9"/>
        <v>0</v>
      </c>
      <c r="W30" s="363">
        <f t="shared" si="9"/>
        <v>4.2</v>
      </c>
      <c r="X30" s="363">
        <f t="shared" si="9"/>
        <v>4.2</v>
      </c>
      <c r="Y30" s="363">
        <f t="shared" si="9"/>
        <v>0.2</v>
      </c>
      <c r="Z30" s="363">
        <f t="shared" si="9"/>
        <v>2.085</v>
      </c>
      <c r="AA30" s="364">
        <f t="shared" si="7"/>
        <v>87.76</v>
      </c>
      <c r="AB30" s="365">
        <f t="shared" si="8"/>
        <v>97.44</v>
      </c>
      <c r="AC30" s="366">
        <f t="shared" si="9"/>
        <v>506.8</v>
      </c>
      <c r="AD30" s="366">
        <f t="shared" si="9"/>
        <v>498.7</v>
      </c>
    </row>
    <row r="31" spans="1:30" ht="54" customHeight="1">
      <c r="A31" s="74"/>
      <c r="B31" s="68" t="s">
        <v>295</v>
      </c>
      <c r="C31" s="335"/>
      <c r="D31" s="336"/>
      <c r="E31" s="337">
        <v>0.1</v>
      </c>
      <c r="F31" s="336">
        <v>0.2</v>
      </c>
      <c r="G31" s="336"/>
      <c r="H31" s="336"/>
      <c r="I31" s="336">
        <v>0.5</v>
      </c>
      <c r="J31" s="336"/>
      <c r="K31" s="336"/>
      <c r="L31" s="336"/>
      <c r="M31" s="337"/>
      <c r="N31" s="338">
        <f>SUM(C31:M31)</f>
        <v>0.8</v>
      </c>
      <c r="O31" s="339"/>
      <c r="P31" s="337"/>
      <c r="Q31" s="336">
        <v>12</v>
      </c>
      <c r="R31" s="336">
        <v>5</v>
      </c>
      <c r="S31" s="337">
        <v>0.7</v>
      </c>
      <c r="T31" s="337"/>
      <c r="U31" s="337"/>
      <c r="V31" s="337"/>
      <c r="W31" s="337"/>
      <c r="X31" s="337"/>
      <c r="Y31" s="337"/>
      <c r="Z31" s="375" t="s">
        <v>305</v>
      </c>
      <c r="AA31" s="338">
        <f>SUM(O31:Q31,S31:W31,Y31:Z31)</f>
        <v>12.7</v>
      </c>
      <c r="AB31" s="340">
        <f aca="true" t="shared" si="10" ref="AB31:AB36">SUM(N31,AA31)</f>
        <v>13.5</v>
      </c>
      <c r="AC31" s="341">
        <v>81.3</v>
      </c>
      <c r="AD31" s="342">
        <v>77</v>
      </c>
    </row>
    <row r="32" spans="1:30" ht="54" customHeight="1">
      <c r="A32" s="74"/>
      <c r="B32" s="68" t="s">
        <v>297</v>
      </c>
      <c r="C32" s="335"/>
      <c r="D32" s="336"/>
      <c r="E32" s="337"/>
      <c r="F32" s="336"/>
      <c r="G32" s="336"/>
      <c r="H32" s="336"/>
      <c r="I32" s="336"/>
      <c r="J32" s="336"/>
      <c r="K32" s="336"/>
      <c r="L32" s="336"/>
      <c r="M32" s="337"/>
      <c r="N32" s="338">
        <f aca="true" t="shared" si="11" ref="N32:N37">SUM(C32:M32)</f>
        <v>0</v>
      </c>
      <c r="O32" s="339"/>
      <c r="P32" s="337"/>
      <c r="Q32" s="336">
        <v>7.7</v>
      </c>
      <c r="R32" s="336"/>
      <c r="S32" s="337"/>
      <c r="T32" s="337"/>
      <c r="U32" s="337"/>
      <c r="V32" s="337"/>
      <c r="W32" s="337"/>
      <c r="X32" s="337"/>
      <c r="Y32" s="337"/>
      <c r="Z32" s="337"/>
      <c r="AA32" s="338">
        <f aca="true" t="shared" si="12" ref="AA32:AA37">SUM(O32:Q32,S32:W32,Y32:Z32)</f>
        <v>7.7</v>
      </c>
      <c r="AB32" s="340">
        <f t="shared" si="10"/>
        <v>7.7</v>
      </c>
      <c r="AC32" s="341">
        <v>43.9</v>
      </c>
      <c r="AD32" s="342">
        <v>43.9</v>
      </c>
    </row>
    <row r="33" spans="1:30" ht="54" customHeight="1">
      <c r="A33" s="74"/>
      <c r="B33" s="68" t="s">
        <v>207</v>
      </c>
      <c r="C33" s="335"/>
      <c r="D33" s="336"/>
      <c r="E33" s="337"/>
      <c r="F33" s="336"/>
      <c r="G33" s="336"/>
      <c r="H33" s="336"/>
      <c r="I33" s="336">
        <v>13.68</v>
      </c>
      <c r="J33" s="336"/>
      <c r="K33" s="336"/>
      <c r="L33" s="336"/>
      <c r="M33" s="337"/>
      <c r="N33" s="338">
        <f t="shared" si="11"/>
        <v>13.68</v>
      </c>
      <c r="O33" s="339"/>
      <c r="P33" s="337"/>
      <c r="Q33" s="336">
        <v>59.91</v>
      </c>
      <c r="R33" s="336">
        <v>27.86</v>
      </c>
      <c r="S33" s="337">
        <v>12.25</v>
      </c>
      <c r="T33" s="337"/>
      <c r="U33" s="337">
        <v>0.7</v>
      </c>
      <c r="V33" s="337"/>
      <c r="W33" s="337">
        <v>0.6</v>
      </c>
      <c r="X33" s="337">
        <v>0.59</v>
      </c>
      <c r="Y33" s="337">
        <v>0.14</v>
      </c>
      <c r="Z33" s="337"/>
      <c r="AA33" s="338">
        <f>SUM(O33:Q33,S33:W33,Y33:Z33)</f>
        <v>73.6</v>
      </c>
      <c r="AB33" s="340">
        <f t="shared" si="10"/>
        <v>87.28</v>
      </c>
      <c r="AC33" s="341">
        <v>933.077</v>
      </c>
      <c r="AD33" s="342">
        <v>933.077</v>
      </c>
    </row>
    <row r="34" spans="1:30" ht="54" customHeight="1">
      <c r="A34" s="74"/>
      <c r="B34" s="68" t="s">
        <v>298</v>
      </c>
      <c r="C34" s="335"/>
      <c r="D34" s="336"/>
      <c r="E34" s="337"/>
      <c r="F34" s="336"/>
      <c r="G34" s="336"/>
      <c r="H34" s="336"/>
      <c r="I34" s="336">
        <v>9.24</v>
      </c>
      <c r="J34" s="336"/>
      <c r="K34" s="336"/>
      <c r="L34" s="336"/>
      <c r="M34" s="337"/>
      <c r="N34" s="338">
        <f t="shared" si="11"/>
        <v>9.24</v>
      </c>
      <c r="O34" s="339"/>
      <c r="P34" s="337"/>
      <c r="Q34" s="336">
        <v>20.33</v>
      </c>
      <c r="R34" s="336">
        <v>18.58</v>
      </c>
      <c r="S34" s="337">
        <v>2.73</v>
      </c>
      <c r="T34" s="337"/>
      <c r="U34" s="337">
        <v>1.04</v>
      </c>
      <c r="V34" s="337"/>
      <c r="W34" s="337">
        <v>0.9</v>
      </c>
      <c r="X34" s="337">
        <v>0.86</v>
      </c>
      <c r="Y34" s="337">
        <v>1.85</v>
      </c>
      <c r="Z34" s="337"/>
      <c r="AA34" s="338">
        <f t="shared" si="12"/>
        <v>26.849999999999998</v>
      </c>
      <c r="AB34" s="340">
        <f t="shared" si="10"/>
        <v>36.089999999999996</v>
      </c>
      <c r="AC34" s="341">
        <v>452.879</v>
      </c>
      <c r="AD34" s="342">
        <v>452.879</v>
      </c>
    </row>
    <row r="35" spans="1:30" ht="54" customHeight="1">
      <c r="A35" s="74"/>
      <c r="B35" s="68" t="s">
        <v>296</v>
      </c>
      <c r="C35" s="335"/>
      <c r="D35" s="336"/>
      <c r="E35" s="337">
        <v>0.6</v>
      </c>
      <c r="F35" s="336">
        <v>0.01</v>
      </c>
      <c r="G35" s="336">
        <v>0.2</v>
      </c>
      <c r="H35" s="336"/>
      <c r="I35" s="336">
        <v>3.78</v>
      </c>
      <c r="J35" s="336">
        <v>1.98</v>
      </c>
      <c r="K35" s="336"/>
      <c r="L35" s="336">
        <v>0.05</v>
      </c>
      <c r="M35" s="337"/>
      <c r="N35" s="338">
        <f t="shared" si="11"/>
        <v>6.62</v>
      </c>
      <c r="O35" s="339"/>
      <c r="P35" s="337"/>
      <c r="Q35" s="336">
        <v>0.66</v>
      </c>
      <c r="R35" s="336">
        <v>0.5</v>
      </c>
      <c r="S35" s="337">
        <v>0.9</v>
      </c>
      <c r="T35" s="337"/>
      <c r="U35" s="337"/>
      <c r="V35" s="337">
        <v>0.1</v>
      </c>
      <c r="W35" s="337">
        <v>2</v>
      </c>
      <c r="X35" s="337">
        <v>2</v>
      </c>
      <c r="Y35" s="337">
        <v>7.64</v>
      </c>
      <c r="Z35" s="337"/>
      <c r="AA35" s="338">
        <f>SUM(O35:Q35,S35:W35,Y35:Z35)</f>
        <v>11.3</v>
      </c>
      <c r="AB35" s="340">
        <f t="shared" si="10"/>
        <v>17.92</v>
      </c>
      <c r="AC35" s="341">
        <v>220</v>
      </c>
      <c r="AD35" s="342">
        <v>213</v>
      </c>
    </row>
    <row r="36" spans="1:30" ht="54" customHeight="1">
      <c r="A36" s="74"/>
      <c r="B36" s="106" t="s">
        <v>299</v>
      </c>
      <c r="C36" s="343"/>
      <c r="D36" s="344"/>
      <c r="E36" s="345"/>
      <c r="F36" s="344">
        <v>0.68</v>
      </c>
      <c r="G36" s="344"/>
      <c r="H36" s="344"/>
      <c r="I36" s="344">
        <v>6.48</v>
      </c>
      <c r="J36" s="344"/>
      <c r="K36" s="344">
        <v>0.05</v>
      </c>
      <c r="L36" s="344"/>
      <c r="M36" s="345"/>
      <c r="N36" s="338">
        <f t="shared" si="11"/>
        <v>7.21</v>
      </c>
      <c r="O36" s="346"/>
      <c r="P36" s="345">
        <v>0.2</v>
      </c>
      <c r="Q36" s="344">
        <v>21.11</v>
      </c>
      <c r="R36" s="344">
        <v>18.42</v>
      </c>
      <c r="S36" s="345">
        <v>8.25</v>
      </c>
      <c r="T36" s="345"/>
      <c r="U36" s="345">
        <v>0.55</v>
      </c>
      <c r="V36" s="345"/>
      <c r="W36" s="345">
        <v>0.2</v>
      </c>
      <c r="X36" s="345">
        <v>0.24</v>
      </c>
      <c r="Y36" s="345">
        <v>0.3</v>
      </c>
      <c r="Z36" s="345"/>
      <c r="AA36" s="338">
        <f t="shared" si="12"/>
        <v>30.61</v>
      </c>
      <c r="AB36" s="340">
        <f t="shared" si="10"/>
        <v>37.82</v>
      </c>
      <c r="AC36" s="347">
        <v>476.58</v>
      </c>
      <c r="AD36" s="348">
        <v>476.58</v>
      </c>
    </row>
    <row r="37" spans="2:30" ht="54" customHeight="1" thickBot="1">
      <c r="B37" s="121" t="s">
        <v>255</v>
      </c>
      <c r="C37" s="362">
        <f>SUM(C31:C36)</f>
        <v>0</v>
      </c>
      <c r="D37" s="363">
        <f aca="true" t="shared" si="13" ref="D37:AD37">SUM(D31:D36)</f>
        <v>0</v>
      </c>
      <c r="E37" s="363">
        <f t="shared" si="13"/>
        <v>0.7</v>
      </c>
      <c r="F37" s="363">
        <f t="shared" si="13"/>
        <v>0.8900000000000001</v>
      </c>
      <c r="G37" s="363">
        <f t="shared" si="13"/>
        <v>0.2</v>
      </c>
      <c r="H37" s="363">
        <f t="shared" si="13"/>
        <v>0</v>
      </c>
      <c r="I37" s="363">
        <f t="shared" si="13"/>
        <v>33.68000000000001</v>
      </c>
      <c r="J37" s="363">
        <f t="shared" si="13"/>
        <v>1.98</v>
      </c>
      <c r="K37" s="363">
        <f t="shared" si="13"/>
        <v>0.05</v>
      </c>
      <c r="L37" s="363">
        <f t="shared" si="13"/>
        <v>0.05</v>
      </c>
      <c r="M37" s="363">
        <f t="shared" si="13"/>
        <v>0</v>
      </c>
      <c r="N37" s="364">
        <f t="shared" si="11"/>
        <v>37.55</v>
      </c>
      <c r="O37" s="376">
        <f t="shared" si="13"/>
        <v>0</v>
      </c>
      <c r="P37" s="350">
        <f t="shared" si="13"/>
        <v>0.2</v>
      </c>
      <c r="Q37" s="350">
        <f t="shared" si="13"/>
        <v>121.71</v>
      </c>
      <c r="R37" s="350">
        <f t="shared" si="13"/>
        <v>70.36</v>
      </c>
      <c r="S37" s="350">
        <f t="shared" si="13"/>
        <v>24.83</v>
      </c>
      <c r="T37" s="350">
        <f t="shared" si="13"/>
        <v>0</v>
      </c>
      <c r="U37" s="350">
        <f t="shared" si="13"/>
        <v>2.29</v>
      </c>
      <c r="V37" s="350">
        <f t="shared" si="13"/>
        <v>0.1</v>
      </c>
      <c r="W37" s="350">
        <f t="shared" si="13"/>
        <v>3.7</v>
      </c>
      <c r="X37" s="350">
        <f t="shared" si="13"/>
        <v>3.6900000000000004</v>
      </c>
      <c r="Y37" s="350">
        <f t="shared" si="13"/>
        <v>9.93</v>
      </c>
      <c r="Z37" s="350">
        <f t="shared" si="13"/>
        <v>0</v>
      </c>
      <c r="AA37" s="352">
        <f t="shared" si="12"/>
        <v>162.76</v>
      </c>
      <c r="AB37" s="365">
        <f t="shared" si="13"/>
        <v>200.31</v>
      </c>
      <c r="AC37" s="366">
        <f t="shared" si="13"/>
        <v>2207.736</v>
      </c>
      <c r="AD37" s="366">
        <f t="shared" si="13"/>
        <v>2196.436</v>
      </c>
    </row>
    <row r="38" spans="1:30" ht="54" customHeight="1">
      <c r="A38" s="74"/>
      <c r="B38" s="67" t="s">
        <v>241</v>
      </c>
      <c r="C38" s="377">
        <v>0</v>
      </c>
      <c r="D38" s="320">
        <v>0</v>
      </c>
      <c r="E38" s="337">
        <v>0.1</v>
      </c>
      <c r="F38" s="330">
        <v>0</v>
      </c>
      <c r="G38" s="330">
        <v>0</v>
      </c>
      <c r="H38" s="330">
        <v>0</v>
      </c>
      <c r="I38" s="336">
        <v>0.2</v>
      </c>
      <c r="J38" s="330">
        <v>0</v>
      </c>
      <c r="K38" s="330">
        <v>0</v>
      </c>
      <c r="L38" s="330">
        <v>0</v>
      </c>
      <c r="M38" s="330">
        <v>0</v>
      </c>
      <c r="N38" s="338">
        <f>SUM(C38:M38)</f>
        <v>0.30000000000000004</v>
      </c>
      <c r="O38" s="378">
        <v>0</v>
      </c>
      <c r="P38" s="379">
        <v>0</v>
      </c>
      <c r="Q38" s="355">
        <v>0.2</v>
      </c>
      <c r="R38" s="379">
        <v>0</v>
      </c>
      <c r="S38" s="379">
        <v>0</v>
      </c>
      <c r="T38" s="379">
        <v>0</v>
      </c>
      <c r="U38" s="379">
        <v>0</v>
      </c>
      <c r="V38" s="379">
        <v>0</v>
      </c>
      <c r="W38" s="379">
        <v>0</v>
      </c>
      <c r="X38" s="379">
        <v>0</v>
      </c>
      <c r="Y38" s="379">
        <v>0</v>
      </c>
      <c r="Z38" s="379">
        <v>0</v>
      </c>
      <c r="AA38" s="357">
        <f>SUM(O38:Q38,S38:W38,Y38:Z38)</f>
        <v>0.2</v>
      </c>
      <c r="AB38" s="340">
        <f>SUM(N38,AA38)</f>
        <v>0.5</v>
      </c>
      <c r="AC38" s="341">
        <v>5</v>
      </c>
      <c r="AD38" s="342">
        <v>4</v>
      </c>
    </row>
    <row r="39" spans="1:30" ht="54" customHeight="1">
      <c r="A39" s="74"/>
      <c r="B39" s="67" t="s">
        <v>238</v>
      </c>
      <c r="C39" s="335"/>
      <c r="D39" s="336"/>
      <c r="E39" s="337"/>
      <c r="F39" s="336"/>
      <c r="G39" s="336"/>
      <c r="H39" s="336"/>
      <c r="I39" s="336"/>
      <c r="J39" s="336"/>
      <c r="K39" s="336"/>
      <c r="L39" s="336"/>
      <c r="M39" s="337"/>
      <c r="N39" s="338">
        <f>SUM(C39:M39)</f>
        <v>0</v>
      </c>
      <c r="O39" s="339"/>
      <c r="P39" s="337"/>
      <c r="Q39" s="336">
        <v>0.5</v>
      </c>
      <c r="R39" s="336"/>
      <c r="S39" s="337"/>
      <c r="T39" s="337"/>
      <c r="U39" s="337">
        <v>0.1</v>
      </c>
      <c r="V39" s="337"/>
      <c r="W39" s="337"/>
      <c r="X39" s="337"/>
      <c r="Y39" s="337"/>
      <c r="Z39" s="337"/>
      <c r="AA39" s="338">
        <f>SUM(O39:Q39,S39:W39,Y39:Z39)</f>
        <v>0.6</v>
      </c>
      <c r="AB39" s="340">
        <f>SUM(N39,AA39)</f>
        <v>0.6</v>
      </c>
      <c r="AC39" s="341">
        <v>5.6</v>
      </c>
      <c r="AD39" s="342">
        <v>4.7</v>
      </c>
    </row>
    <row r="40" spans="1:30" ht="54" customHeight="1">
      <c r="A40" s="74"/>
      <c r="B40" s="55" t="s">
        <v>240</v>
      </c>
      <c r="C40" s="335">
        <v>0.1</v>
      </c>
      <c r="D40" s="336"/>
      <c r="E40" s="337"/>
      <c r="F40" s="336"/>
      <c r="G40" s="336"/>
      <c r="H40" s="336"/>
      <c r="I40" s="320">
        <v>0.2</v>
      </c>
      <c r="J40" s="336"/>
      <c r="K40" s="336"/>
      <c r="L40" s="336"/>
      <c r="M40" s="337"/>
      <c r="N40" s="338">
        <f>SUM(C40:M40)</f>
        <v>0.30000000000000004</v>
      </c>
      <c r="O40" s="339"/>
      <c r="P40" s="337"/>
      <c r="Q40" s="336">
        <v>0.5</v>
      </c>
      <c r="R40" s="336"/>
      <c r="S40" s="337">
        <v>0.1</v>
      </c>
      <c r="T40" s="337"/>
      <c r="U40" s="337"/>
      <c r="V40" s="337"/>
      <c r="W40" s="337"/>
      <c r="X40" s="337"/>
      <c r="Y40" s="337"/>
      <c r="Z40" s="337"/>
      <c r="AA40" s="338">
        <f>SUM(O40:Q40,S40:W40,Y40:Z40)</f>
        <v>0.6</v>
      </c>
      <c r="AB40" s="340">
        <f>SUM(N40,AA40)</f>
        <v>0.9</v>
      </c>
      <c r="AC40" s="341">
        <v>9</v>
      </c>
      <c r="AD40" s="342">
        <v>7.2</v>
      </c>
    </row>
    <row r="41" spans="2:30" ht="54" customHeight="1" thickBot="1">
      <c r="B41" s="22" t="s">
        <v>256</v>
      </c>
      <c r="C41" s="350">
        <f>SUM(C38:C40)</f>
        <v>0.1</v>
      </c>
      <c r="D41" s="350">
        <f aca="true" t="shared" si="14" ref="D41:AD41">SUM(D38:D40)</f>
        <v>0</v>
      </c>
      <c r="E41" s="350">
        <f t="shared" si="14"/>
        <v>0.1</v>
      </c>
      <c r="F41" s="350">
        <f t="shared" si="14"/>
        <v>0</v>
      </c>
      <c r="G41" s="350">
        <f t="shared" si="14"/>
        <v>0</v>
      </c>
      <c r="H41" s="350">
        <f t="shared" si="14"/>
        <v>0</v>
      </c>
      <c r="I41" s="350">
        <f t="shared" si="14"/>
        <v>0.4</v>
      </c>
      <c r="J41" s="350">
        <f t="shared" si="14"/>
        <v>0</v>
      </c>
      <c r="K41" s="350">
        <f t="shared" si="14"/>
        <v>0</v>
      </c>
      <c r="L41" s="350">
        <f t="shared" si="14"/>
        <v>0</v>
      </c>
      <c r="M41" s="350">
        <f t="shared" si="14"/>
        <v>0</v>
      </c>
      <c r="N41" s="351">
        <f t="shared" si="14"/>
        <v>0.6000000000000001</v>
      </c>
      <c r="O41" s="362">
        <f t="shared" si="14"/>
        <v>0</v>
      </c>
      <c r="P41" s="363">
        <f t="shared" si="14"/>
        <v>0</v>
      </c>
      <c r="Q41" s="363">
        <f t="shared" si="14"/>
        <v>1.2</v>
      </c>
      <c r="R41" s="363">
        <f t="shared" si="14"/>
        <v>0</v>
      </c>
      <c r="S41" s="363">
        <f t="shared" si="14"/>
        <v>0.1</v>
      </c>
      <c r="T41" s="363">
        <f t="shared" si="14"/>
        <v>0</v>
      </c>
      <c r="U41" s="363">
        <f t="shared" si="14"/>
        <v>0.1</v>
      </c>
      <c r="V41" s="363">
        <f t="shared" si="14"/>
        <v>0</v>
      </c>
      <c r="W41" s="363">
        <f t="shared" si="14"/>
        <v>0</v>
      </c>
      <c r="X41" s="363">
        <f t="shared" si="14"/>
        <v>0</v>
      </c>
      <c r="Y41" s="363">
        <f t="shared" si="14"/>
        <v>0</v>
      </c>
      <c r="Z41" s="363">
        <f t="shared" si="14"/>
        <v>0</v>
      </c>
      <c r="AA41" s="364">
        <f>SUM(O41:Q41,S41:W41,Y41:Z41)</f>
        <v>1.4000000000000001</v>
      </c>
      <c r="AB41" s="380">
        <f t="shared" si="14"/>
        <v>2</v>
      </c>
      <c r="AC41" s="381">
        <f t="shared" si="14"/>
        <v>19.6</v>
      </c>
      <c r="AD41" s="381">
        <f t="shared" si="14"/>
        <v>15.899999999999999</v>
      </c>
    </row>
    <row r="42" spans="2:30" ht="54" customHeight="1" thickBot="1">
      <c r="B42" s="121" t="s">
        <v>245</v>
      </c>
      <c r="C42" s="382">
        <f aca="true" t="shared" si="15" ref="C42:M42">SUM(C12,C17,C20,C30,C37,C41)</f>
        <v>0.1</v>
      </c>
      <c r="D42" s="383">
        <f t="shared" si="15"/>
        <v>0.1</v>
      </c>
      <c r="E42" s="383">
        <f t="shared" si="15"/>
        <v>1.21</v>
      </c>
      <c r="F42" s="383">
        <f t="shared" si="15"/>
        <v>0.9000000000000001</v>
      </c>
      <c r="G42" s="383">
        <f t="shared" si="15"/>
        <v>1.12</v>
      </c>
      <c r="H42" s="383">
        <f t="shared" si="15"/>
        <v>0.48</v>
      </c>
      <c r="I42" s="383">
        <f t="shared" si="15"/>
        <v>57.88</v>
      </c>
      <c r="J42" s="383">
        <f t="shared" si="15"/>
        <v>1.98</v>
      </c>
      <c r="K42" s="383">
        <f t="shared" si="15"/>
        <v>2.64</v>
      </c>
      <c r="L42" s="383">
        <f t="shared" si="15"/>
        <v>0.05</v>
      </c>
      <c r="M42" s="383">
        <f t="shared" si="15"/>
        <v>0.2</v>
      </c>
      <c r="N42" s="384">
        <f>SUM(C42:M42)</f>
        <v>66.66</v>
      </c>
      <c r="O42" s="382">
        <f aca="true" t="shared" si="16" ref="O42:Z42">SUM(O12,O17,O20,O30,O37,O41)</f>
        <v>0.2</v>
      </c>
      <c r="P42" s="383">
        <f t="shared" si="16"/>
        <v>0.275</v>
      </c>
      <c r="Q42" s="383">
        <f t="shared" si="16"/>
        <v>357.6483333333333</v>
      </c>
      <c r="R42" s="383">
        <f t="shared" si="16"/>
        <v>84.77</v>
      </c>
      <c r="S42" s="383">
        <f t="shared" si="16"/>
        <v>48.595</v>
      </c>
      <c r="T42" s="383">
        <f t="shared" si="16"/>
        <v>0.5</v>
      </c>
      <c r="U42" s="383">
        <f t="shared" si="16"/>
        <v>4.22</v>
      </c>
      <c r="V42" s="383">
        <f t="shared" si="16"/>
        <v>2.2199999999999998</v>
      </c>
      <c r="W42" s="383">
        <f t="shared" si="16"/>
        <v>12.899999999999999</v>
      </c>
      <c r="X42" s="383">
        <f t="shared" si="16"/>
        <v>11.05</v>
      </c>
      <c r="Y42" s="383">
        <f t="shared" si="16"/>
        <v>14.2</v>
      </c>
      <c r="Z42" s="383">
        <f t="shared" si="16"/>
        <v>2.665</v>
      </c>
      <c r="AA42" s="384">
        <f>SUM(O42:Q42,S42:W42,Y42:Z42)</f>
        <v>443.4233333333334</v>
      </c>
      <c r="AB42" s="385">
        <f>SUM(AB12,AB17,AB20,AB30,AB37,AB41)</f>
        <v>510.0833333333333</v>
      </c>
      <c r="AC42" s="386">
        <f>SUM(AC12,AC17,AC20,AC30,AC37,AC41)</f>
        <v>4579.307204540764</v>
      </c>
      <c r="AD42" s="385">
        <f>SUM(AD12,AD17,AD20,AD30,AD37,AD41)</f>
        <v>4461.768404540763</v>
      </c>
    </row>
  </sheetData>
  <sheetProtection/>
  <mergeCells count="36">
    <mergeCell ref="B5:B7"/>
    <mergeCell ref="AB6:AB7"/>
    <mergeCell ref="Q6:R6"/>
    <mergeCell ref="AD6:AD7"/>
    <mergeCell ref="AC6:AC7"/>
    <mergeCell ref="W6:X6"/>
    <mergeCell ref="Y6:Y7"/>
    <mergeCell ref="Z6:Z7"/>
    <mergeCell ref="AA6:AA7"/>
    <mergeCell ref="L6:L7"/>
    <mergeCell ref="M6:M7"/>
    <mergeCell ref="O6:O7"/>
    <mergeCell ref="L5:M5"/>
    <mergeCell ref="J6:J7"/>
    <mergeCell ref="O5:P5"/>
    <mergeCell ref="P6:P7"/>
    <mergeCell ref="C6:C7"/>
    <mergeCell ref="AC1:AD1"/>
    <mergeCell ref="Q5:S5"/>
    <mergeCell ref="G5:K5"/>
    <mergeCell ref="D6:D7"/>
    <mergeCell ref="E6:E7"/>
    <mergeCell ref="O4:AA4"/>
    <mergeCell ref="C4:N4"/>
    <mergeCell ref="F6:F7"/>
    <mergeCell ref="G6:G7"/>
    <mergeCell ref="D5:F5"/>
    <mergeCell ref="U6:U7"/>
    <mergeCell ref="U5:X5"/>
    <mergeCell ref="V6:V7"/>
    <mergeCell ref="H6:H7"/>
    <mergeCell ref="I6:I7"/>
    <mergeCell ref="N6:N7"/>
    <mergeCell ref="T6:T7"/>
    <mergeCell ref="S6:S7"/>
    <mergeCell ref="K6:K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3" r:id="rId4"/>
  <colBreaks count="1" manualBreakCount="1">
    <brk id="14" max="18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showOutlineSymbols="0" view="pageBreakPreview" zoomScale="50" zoomScaleNormal="40" zoomScaleSheetLayoutView="50" zoomScalePageLayoutView="0" workbookViewId="0" topLeftCell="A1">
      <selection activeCell="I23" sqref="I23"/>
    </sheetView>
  </sheetViews>
  <sheetFormatPr defaultColWidth="10.75390625" defaultRowHeight="54" customHeight="1"/>
  <cols>
    <col min="1" max="1" width="7.375" style="1" customWidth="1"/>
    <col min="2" max="2" width="20.625" style="45" customWidth="1"/>
    <col min="3" max="3" width="15.625" style="46" customWidth="1"/>
    <col min="4" max="7" width="15.625" style="45" customWidth="1"/>
    <col min="8" max="16" width="15.625" style="46" customWidth="1"/>
    <col min="17" max="19" width="15.625" style="1" customWidth="1"/>
    <col min="20" max="20" width="1.75390625" style="1" customWidth="1"/>
    <col min="21" max="16384" width="10.75390625" style="1" customWidth="1"/>
  </cols>
  <sheetData>
    <row r="1" spans="7:20" ht="54" customHeight="1">
      <c r="G1" s="69"/>
      <c r="R1" s="760"/>
      <c r="S1" s="760"/>
      <c r="T1" s="23"/>
    </row>
    <row r="2" spans="2:19" ht="54" customHeight="1">
      <c r="B2" s="2" t="s">
        <v>273</v>
      </c>
      <c r="D2" s="2"/>
      <c r="E2" s="2"/>
      <c r="F2" s="2"/>
      <c r="G2" s="2"/>
      <c r="S2" s="70"/>
    </row>
    <row r="3" spans="2:7" ht="54" customHeight="1">
      <c r="B3" s="2"/>
      <c r="D3" s="2"/>
      <c r="E3" s="2"/>
      <c r="F3" s="2"/>
      <c r="G3" s="2"/>
    </row>
    <row r="4" spans="2:17" ht="54" customHeight="1" thickBot="1">
      <c r="B4" s="4" t="s">
        <v>277</v>
      </c>
      <c r="D4" s="47"/>
      <c r="E4" s="47"/>
      <c r="F4" s="47"/>
      <c r="G4" s="47"/>
      <c r="N4" s="48"/>
      <c r="Q4" s="6"/>
    </row>
    <row r="5" spans="2:19" ht="54" customHeight="1">
      <c r="B5" s="87"/>
      <c r="C5" s="796" t="s">
        <v>249</v>
      </c>
      <c r="D5" s="797"/>
      <c r="E5" s="797"/>
      <c r="F5" s="769"/>
      <c r="G5" s="770"/>
      <c r="H5" s="762" t="s">
        <v>262</v>
      </c>
      <c r="I5" s="763"/>
      <c r="J5" s="763"/>
      <c r="K5" s="763"/>
      <c r="L5" s="763"/>
      <c r="M5" s="763"/>
      <c r="N5" s="763"/>
      <c r="O5" s="763"/>
      <c r="P5" s="764"/>
      <c r="Q5" s="174" t="s">
        <v>118</v>
      </c>
      <c r="R5" s="82" t="s">
        <v>119</v>
      </c>
      <c r="S5" s="63" t="s">
        <v>120</v>
      </c>
    </row>
    <row r="6" spans="2:19" ht="54" customHeight="1">
      <c r="B6" s="7" t="s">
        <v>0</v>
      </c>
      <c r="C6" s="765" t="s">
        <v>35</v>
      </c>
      <c r="D6" s="761"/>
      <c r="E6" s="133" t="s">
        <v>248</v>
      </c>
      <c r="F6" s="135" t="s">
        <v>36</v>
      </c>
      <c r="G6" s="62"/>
      <c r="H6" s="765" t="s">
        <v>34</v>
      </c>
      <c r="I6" s="756"/>
      <c r="J6" s="132" t="s">
        <v>35</v>
      </c>
      <c r="K6" s="755" t="s">
        <v>37</v>
      </c>
      <c r="L6" s="756"/>
      <c r="M6" s="756"/>
      <c r="N6" s="822" t="s">
        <v>36</v>
      </c>
      <c r="O6" s="822"/>
      <c r="P6" s="8"/>
      <c r="Q6" s="178" t="s">
        <v>49</v>
      </c>
      <c r="R6" s="83" t="s">
        <v>49</v>
      </c>
      <c r="S6" s="64" t="s">
        <v>49</v>
      </c>
    </row>
    <row r="7" spans="2:19" ht="54" customHeight="1" thickBot="1">
      <c r="B7" s="88"/>
      <c r="C7" s="117" t="s">
        <v>74</v>
      </c>
      <c r="D7" s="89" t="s">
        <v>166</v>
      </c>
      <c r="E7" s="89" t="s">
        <v>116</v>
      </c>
      <c r="F7" s="90" t="s">
        <v>75</v>
      </c>
      <c r="G7" s="91" t="s">
        <v>26</v>
      </c>
      <c r="H7" s="44" t="s">
        <v>50</v>
      </c>
      <c r="I7" s="43" t="s">
        <v>51</v>
      </c>
      <c r="J7" s="42" t="s">
        <v>52</v>
      </c>
      <c r="K7" s="26" t="s">
        <v>53</v>
      </c>
      <c r="L7" s="26" t="s">
        <v>46</v>
      </c>
      <c r="M7" s="43" t="s">
        <v>54</v>
      </c>
      <c r="N7" s="26" t="s">
        <v>55</v>
      </c>
      <c r="O7" s="40" t="s">
        <v>56</v>
      </c>
      <c r="P7" s="41" t="s">
        <v>26</v>
      </c>
      <c r="Q7" s="179" t="s">
        <v>138</v>
      </c>
      <c r="R7" s="84" t="s">
        <v>139</v>
      </c>
      <c r="S7" s="65" t="s">
        <v>139</v>
      </c>
    </row>
    <row r="8" spans="1:19" ht="54" customHeight="1">
      <c r="A8" s="74"/>
      <c r="B8" s="199" t="s">
        <v>221</v>
      </c>
      <c r="C8" s="387" t="s">
        <v>292</v>
      </c>
      <c r="D8" s="388">
        <v>0.455</v>
      </c>
      <c r="E8" s="388" t="s">
        <v>292</v>
      </c>
      <c r="F8" s="388" t="s">
        <v>292</v>
      </c>
      <c r="G8" s="389">
        <f aca="true" t="shared" si="0" ref="G8:G13">SUM(C8:F8)</f>
        <v>0.455</v>
      </c>
      <c r="H8" s="387">
        <v>5.26</v>
      </c>
      <c r="I8" s="390" t="s">
        <v>292</v>
      </c>
      <c r="J8" s="390">
        <v>2.71</v>
      </c>
      <c r="K8" s="390">
        <v>0.56</v>
      </c>
      <c r="L8" s="390" t="s">
        <v>292</v>
      </c>
      <c r="M8" s="390">
        <v>0.1</v>
      </c>
      <c r="N8" s="390" t="s">
        <v>292</v>
      </c>
      <c r="O8" s="390" t="s">
        <v>292</v>
      </c>
      <c r="P8" s="258">
        <v>8.629999999999999</v>
      </c>
      <c r="Q8" s="391">
        <v>9.084999999999999</v>
      </c>
      <c r="R8" s="392">
        <v>126.39999999999999</v>
      </c>
      <c r="S8" s="393">
        <v>126.4</v>
      </c>
    </row>
    <row r="9" spans="1:19" ht="54" customHeight="1">
      <c r="A9" s="74"/>
      <c r="B9" s="199" t="s">
        <v>219</v>
      </c>
      <c r="C9" s="387"/>
      <c r="D9" s="388">
        <v>1.7</v>
      </c>
      <c r="E9" s="388"/>
      <c r="F9" s="388"/>
      <c r="G9" s="389">
        <f t="shared" si="0"/>
        <v>1.7</v>
      </c>
      <c r="H9" s="387">
        <v>12.8</v>
      </c>
      <c r="I9" s="390"/>
      <c r="J9" s="390">
        <v>8.2</v>
      </c>
      <c r="K9" s="390"/>
      <c r="L9" s="390"/>
      <c r="M9" s="390">
        <v>0.89</v>
      </c>
      <c r="N9" s="390"/>
      <c r="O9" s="390"/>
      <c r="P9" s="258">
        <v>21.9</v>
      </c>
      <c r="Q9" s="391">
        <v>23.6</v>
      </c>
      <c r="R9" s="392">
        <v>556</v>
      </c>
      <c r="S9" s="393">
        <v>547</v>
      </c>
    </row>
    <row r="10" spans="1:19" ht="54" customHeight="1">
      <c r="A10" s="74"/>
      <c r="B10" s="199" t="s">
        <v>220</v>
      </c>
      <c r="C10" s="711"/>
      <c r="D10" s="666">
        <f>(5.1-4.1)/3+5.1</f>
        <v>5.433333333333333</v>
      </c>
      <c r="E10" s="712"/>
      <c r="F10" s="712"/>
      <c r="G10" s="713">
        <f>SUM(C10:F10)</f>
        <v>5.433333333333333</v>
      </c>
      <c r="H10" s="666">
        <v>17.1</v>
      </c>
      <c r="I10" s="714"/>
      <c r="J10" s="665">
        <f>(9.8-11.6)/3+9.8</f>
        <v>9.200000000000001</v>
      </c>
      <c r="K10" s="666">
        <v>3.1</v>
      </c>
      <c r="L10" s="666">
        <v>0.3</v>
      </c>
      <c r="M10" s="665">
        <f>(1.2-1.4)/3+1.2</f>
        <v>1.1333333333333333</v>
      </c>
      <c r="N10" s="666">
        <v>0.8</v>
      </c>
      <c r="O10" s="714"/>
      <c r="P10" s="715">
        <f>SUM(H10:O10)</f>
        <v>31.63333333333334</v>
      </c>
      <c r="Q10" s="716">
        <f>G10+P10</f>
        <v>37.06666666666667</v>
      </c>
      <c r="R10" s="667">
        <f>914/37.7*Q10</f>
        <v>898.6454465075155</v>
      </c>
      <c r="S10" s="717">
        <f>R10</f>
        <v>898.6454465075155</v>
      </c>
    </row>
    <row r="11" spans="1:19" ht="54" customHeight="1">
      <c r="A11" s="74"/>
      <c r="B11" s="199" t="s">
        <v>222</v>
      </c>
      <c r="C11" s="387"/>
      <c r="D11" s="388">
        <v>0.34</v>
      </c>
      <c r="E11" s="388"/>
      <c r="F11" s="388"/>
      <c r="G11" s="389">
        <f t="shared" si="0"/>
        <v>0.34</v>
      </c>
      <c r="H11" s="387">
        <v>6.74</v>
      </c>
      <c r="I11" s="390"/>
      <c r="J11" s="390">
        <v>2.69</v>
      </c>
      <c r="K11" s="390">
        <v>1.04</v>
      </c>
      <c r="L11" s="390">
        <v>0.35</v>
      </c>
      <c r="M11" s="390">
        <v>0.05</v>
      </c>
      <c r="N11" s="390"/>
      <c r="O11" s="390"/>
      <c r="P11" s="258">
        <v>10.87</v>
      </c>
      <c r="Q11" s="391">
        <v>11.209999999999999</v>
      </c>
      <c r="R11" s="392">
        <v>193</v>
      </c>
      <c r="S11" s="393">
        <v>193</v>
      </c>
    </row>
    <row r="12" spans="1:19" ht="54" customHeight="1">
      <c r="A12" s="74"/>
      <c r="B12" s="199" t="s">
        <v>223</v>
      </c>
      <c r="C12" s="387"/>
      <c r="D12" s="388"/>
      <c r="E12" s="388"/>
      <c r="F12" s="388"/>
      <c r="G12" s="389">
        <f t="shared" si="0"/>
        <v>0</v>
      </c>
      <c r="H12" s="387"/>
      <c r="I12" s="390"/>
      <c r="J12" s="390"/>
      <c r="K12" s="390"/>
      <c r="L12" s="390"/>
      <c r="M12" s="390"/>
      <c r="N12" s="390">
        <v>1</v>
      </c>
      <c r="O12" s="390"/>
      <c r="P12" s="258"/>
      <c r="Q12" s="391">
        <v>1</v>
      </c>
      <c r="R12" s="392">
        <v>10</v>
      </c>
      <c r="S12" s="393">
        <v>10</v>
      </c>
    </row>
    <row r="13" spans="2:19" ht="54" customHeight="1" thickBot="1">
      <c r="B13" s="158" t="s">
        <v>253</v>
      </c>
      <c r="C13" s="231">
        <f>SUM(C8:C12)</f>
        <v>0</v>
      </c>
      <c r="D13" s="253">
        <f aca="true" t="shared" si="1" ref="D13:S13">SUM(D8:D12)</f>
        <v>7.928333333333333</v>
      </c>
      <c r="E13" s="253">
        <f t="shared" si="1"/>
        <v>0</v>
      </c>
      <c r="F13" s="253">
        <f t="shared" si="1"/>
        <v>0</v>
      </c>
      <c r="G13" s="252">
        <f t="shared" si="0"/>
        <v>7.928333333333333</v>
      </c>
      <c r="H13" s="231">
        <f t="shared" si="1"/>
        <v>41.900000000000006</v>
      </c>
      <c r="I13" s="253">
        <f t="shared" si="1"/>
        <v>0</v>
      </c>
      <c r="J13" s="253">
        <f t="shared" si="1"/>
        <v>22.8</v>
      </c>
      <c r="K13" s="253">
        <f t="shared" si="1"/>
        <v>4.7</v>
      </c>
      <c r="L13" s="253">
        <f t="shared" si="1"/>
        <v>0.6499999999999999</v>
      </c>
      <c r="M13" s="253">
        <f t="shared" si="1"/>
        <v>2.173333333333333</v>
      </c>
      <c r="N13" s="253">
        <f t="shared" si="1"/>
        <v>1.8</v>
      </c>
      <c r="O13" s="253">
        <f t="shared" si="1"/>
        <v>0</v>
      </c>
      <c r="P13" s="252">
        <f aca="true" t="shared" si="2" ref="P13:P32">SUM(H13:O13)</f>
        <v>74.02333333333334</v>
      </c>
      <c r="Q13" s="394">
        <f aca="true" t="shared" si="3" ref="Q13:Q31">SUM(G13,P13)</f>
        <v>81.95166666666667</v>
      </c>
      <c r="R13" s="395">
        <f t="shared" si="1"/>
        <v>1784.0454465075154</v>
      </c>
      <c r="S13" s="262">
        <f t="shared" si="1"/>
        <v>1775.0454465075154</v>
      </c>
    </row>
    <row r="14" spans="1:19" ht="54" customHeight="1">
      <c r="A14" s="74"/>
      <c r="B14" s="155" t="s">
        <v>244</v>
      </c>
      <c r="C14" s="387"/>
      <c r="D14" s="388"/>
      <c r="E14" s="388"/>
      <c r="F14" s="388"/>
      <c r="G14" s="389">
        <f aca="true" t="shared" si="4" ref="G14:G32">SUM(C14:F14)</f>
        <v>0</v>
      </c>
      <c r="H14" s="387">
        <v>0.6</v>
      </c>
      <c r="I14" s="390"/>
      <c r="J14" s="390">
        <v>0.1</v>
      </c>
      <c r="K14" s="390">
        <v>0.2</v>
      </c>
      <c r="L14" s="390"/>
      <c r="M14" s="390"/>
      <c r="N14" s="390"/>
      <c r="O14" s="390">
        <v>0.7</v>
      </c>
      <c r="P14" s="258">
        <f t="shared" si="2"/>
        <v>1.5999999999999999</v>
      </c>
      <c r="Q14" s="391">
        <f t="shared" si="3"/>
        <v>1.5999999999999999</v>
      </c>
      <c r="R14" s="392">
        <v>45</v>
      </c>
      <c r="S14" s="393">
        <v>42</v>
      </c>
    </row>
    <row r="15" spans="2:19" ht="54" customHeight="1" thickBot="1">
      <c r="B15" s="158" t="s">
        <v>254</v>
      </c>
      <c r="C15" s="231">
        <f>SUM(C14)</f>
        <v>0</v>
      </c>
      <c r="D15" s="253">
        <f aca="true" t="shared" si="5" ref="D15:S15">SUM(D14)</f>
        <v>0</v>
      </c>
      <c r="E15" s="253">
        <f t="shared" si="5"/>
        <v>0</v>
      </c>
      <c r="F15" s="253">
        <f t="shared" si="5"/>
        <v>0</v>
      </c>
      <c r="G15" s="252">
        <f t="shared" si="4"/>
        <v>0</v>
      </c>
      <c r="H15" s="231">
        <f t="shared" si="5"/>
        <v>0.6</v>
      </c>
      <c r="I15" s="253">
        <f t="shared" si="5"/>
        <v>0</v>
      </c>
      <c r="J15" s="253">
        <f t="shared" si="5"/>
        <v>0.1</v>
      </c>
      <c r="K15" s="253">
        <f t="shared" si="5"/>
        <v>0.2</v>
      </c>
      <c r="L15" s="253">
        <f t="shared" si="5"/>
        <v>0</v>
      </c>
      <c r="M15" s="253">
        <f t="shared" si="5"/>
        <v>0</v>
      </c>
      <c r="N15" s="253">
        <f t="shared" si="5"/>
        <v>0</v>
      </c>
      <c r="O15" s="253">
        <f t="shared" si="5"/>
        <v>0.7</v>
      </c>
      <c r="P15" s="252">
        <f t="shared" si="2"/>
        <v>1.5999999999999999</v>
      </c>
      <c r="Q15" s="394">
        <f t="shared" si="3"/>
        <v>1.5999999999999999</v>
      </c>
      <c r="R15" s="395">
        <f t="shared" si="5"/>
        <v>45</v>
      </c>
      <c r="S15" s="262">
        <f t="shared" si="5"/>
        <v>42</v>
      </c>
    </row>
    <row r="16" spans="1:19" ht="54" customHeight="1">
      <c r="A16" s="74"/>
      <c r="B16" s="155" t="s">
        <v>228</v>
      </c>
      <c r="C16" s="387"/>
      <c r="D16" s="388"/>
      <c r="E16" s="388"/>
      <c r="F16" s="388"/>
      <c r="G16" s="389">
        <f t="shared" si="4"/>
        <v>0</v>
      </c>
      <c r="H16" s="387">
        <v>0.5</v>
      </c>
      <c r="I16" s="390"/>
      <c r="J16" s="390">
        <v>0.6</v>
      </c>
      <c r="K16" s="390">
        <v>1</v>
      </c>
      <c r="L16" s="390"/>
      <c r="M16" s="390"/>
      <c r="N16" s="390"/>
      <c r="O16" s="390">
        <v>0.2</v>
      </c>
      <c r="P16" s="258">
        <f t="shared" si="2"/>
        <v>2.3000000000000003</v>
      </c>
      <c r="Q16" s="391">
        <f t="shared" si="3"/>
        <v>2.3000000000000003</v>
      </c>
      <c r="R16" s="392">
        <v>43</v>
      </c>
      <c r="S16" s="393">
        <v>29</v>
      </c>
    </row>
    <row r="17" spans="1:19" s="28" customFormat="1" ht="54" customHeight="1">
      <c r="A17" s="85"/>
      <c r="B17" s="180" t="s">
        <v>286</v>
      </c>
      <c r="C17" s="396"/>
      <c r="D17" s="397"/>
      <c r="E17" s="397"/>
      <c r="F17" s="397"/>
      <c r="G17" s="398">
        <f t="shared" si="4"/>
        <v>0</v>
      </c>
      <c r="H17" s="396">
        <v>0.5</v>
      </c>
      <c r="I17" s="399"/>
      <c r="J17" s="400">
        <v>1</v>
      </c>
      <c r="K17" s="399">
        <v>0.30000000000000004</v>
      </c>
      <c r="L17" s="399"/>
      <c r="M17" s="399">
        <v>0.2</v>
      </c>
      <c r="N17" s="399">
        <v>0.1</v>
      </c>
      <c r="O17" s="399"/>
      <c r="P17" s="401">
        <f t="shared" si="2"/>
        <v>2.1</v>
      </c>
      <c r="Q17" s="402">
        <f t="shared" si="3"/>
        <v>2.1</v>
      </c>
      <c r="R17" s="403">
        <v>4.1</v>
      </c>
      <c r="S17" s="404">
        <v>4.1</v>
      </c>
    </row>
    <row r="18" spans="1:19" ht="54" customHeight="1">
      <c r="A18" s="74"/>
      <c r="B18" s="155" t="s">
        <v>224</v>
      </c>
      <c r="C18" s="387"/>
      <c r="D18" s="388">
        <v>0.7</v>
      </c>
      <c r="E18" s="388"/>
      <c r="F18" s="388"/>
      <c r="G18" s="389">
        <f t="shared" si="4"/>
        <v>0.7</v>
      </c>
      <c r="H18" s="387">
        <v>0.8</v>
      </c>
      <c r="I18" s="390"/>
      <c r="J18" s="390">
        <v>0.7</v>
      </c>
      <c r="K18" s="390"/>
      <c r="L18" s="390"/>
      <c r="M18" s="390"/>
      <c r="N18" s="390"/>
      <c r="O18" s="390"/>
      <c r="P18" s="258">
        <f t="shared" si="2"/>
        <v>1.5</v>
      </c>
      <c r="Q18" s="391">
        <f t="shared" si="3"/>
        <v>2.2</v>
      </c>
      <c r="R18" s="392">
        <v>1.2</v>
      </c>
      <c r="S18" s="393">
        <v>1</v>
      </c>
    </row>
    <row r="19" spans="1:19" ht="54" customHeight="1">
      <c r="A19" s="74"/>
      <c r="B19" s="155" t="s">
        <v>225</v>
      </c>
      <c r="C19" s="387">
        <v>0.4</v>
      </c>
      <c r="D19" s="388">
        <v>0.22</v>
      </c>
      <c r="E19" s="388">
        <v>0.08</v>
      </c>
      <c r="F19" s="388"/>
      <c r="G19" s="389">
        <f t="shared" si="4"/>
        <v>0.7</v>
      </c>
      <c r="H19" s="387">
        <v>3.17</v>
      </c>
      <c r="I19" s="390">
        <v>0.01</v>
      </c>
      <c r="J19" s="390">
        <v>3.35</v>
      </c>
      <c r="K19" s="390">
        <v>1.03</v>
      </c>
      <c r="L19" s="390"/>
      <c r="M19" s="390">
        <v>0.72</v>
      </c>
      <c r="N19" s="390">
        <v>0.62</v>
      </c>
      <c r="O19" s="390"/>
      <c r="P19" s="258">
        <f t="shared" si="2"/>
        <v>8.899999999999999</v>
      </c>
      <c r="Q19" s="391">
        <f t="shared" si="3"/>
        <v>9.599999999999998</v>
      </c>
      <c r="R19" s="392">
        <v>84</v>
      </c>
      <c r="S19" s="393">
        <v>80.7</v>
      </c>
    </row>
    <row r="20" spans="1:19" ht="54" customHeight="1">
      <c r="A20" s="74"/>
      <c r="B20" s="155" t="s">
        <v>227</v>
      </c>
      <c r="C20" s="387"/>
      <c r="D20" s="388"/>
      <c r="E20" s="388"/>
      <c r="F20" s="388"/>
      <c r="G20" s="389">
        <f t="shared" si="4"/>
        <v>0</v>
      </c>
      <c r="H20" s="387">
        <v>1.1</v>
      </c>
      <c r="I20" s="390"/>
      <c r="J20" s="390">
        <v>1</v>
      </c>
      <c r="K20" s="390">
        <v>1.8</v>
      </c>
      <c r="L20" s="390"/>
      <c r="M20" s="390">
        <v>0.3</v>
      </c>
      <c r="N20" s="390"/>
      <c r="O20" s="390"/>
      <c r="P20" s="258">
        <f t="shared" si="2"/>
        <v>4.2</v>
      </c>
      <c r="Q20" s="391">
        <f t="shared" si="3"/>
        <v>4.2</v>
      </c>
      <c r="R20" s="392">
        <v>100.4</v>
      </c>
      <c r="S20" s="393">
        <v>85.4</v>
      </c>
    </row>
    <row r="21" spans="1:19" ht="54" customHeight="1">
      <c r="A21" s="129"/>
      <c r="B21" s="155" t="s">
        <v>233</v>
      </c>
      <c r="C21" s="387"/>
      <c r="D21" s="388"/>
      <c r="E21" s="388"/>
      <c r="F21" s="388"/>
      <c r="G21" s="389">
        <f t="shared" si="4"/>
        <v>0</v>
      </c>
      <c r="H21" s="387">
        <v>2</v>
      </c>
      <c r="I21" s="390"/>
      <c r="J21" s="390">
        <v>2</v>
      </c>
      <c r="K21" s="390"/>
      <c r="L21" s="390"/>
      <c r="M21" s="390"/>
      <c r="N21" s="390"/>
      <c r="O21" s="390"/>
      <c r="P21" s="258">
        <f t="shared" si="2"/>
        <v>4</v>
      </c>
      <c r="Q21" s="391">
        <f t="shared" si="3"/>
        <v>4</v>
      </c>
      <c r="R21" s="392">
        <v>48</v>
      </c>
      <c r="S21" s="393">
        <v>42.8</v>
      </c>
    </row>
    <row r="22" spans="1:19" ht="54" customHeight="1">
      <c r="A22" s="74"/>
      <c r="B22" s="155" t="s">
        <v>234</v>
      </c>
      <c r="C22" s="387">
        <v>0.1</v>
      </c>
      <c r="D22" s="388">
        <v>0.1</v>
      </c>
      <c r="E22" s="388">
        <v>0.1</v>
      </c>
      <c r="F22" s="388"/>
      <c r="G22" s="389">
        <f t="shared" si="4"/>
        <v>0.30000000000000004</v>
      </c>
      <c r="H22" s="387">
        <v>1</v>
      </c>
      <c r="I22" s="390"/>
      <c r="J22" s="390">
        <v>3.7</v>
      </c>
      <c r="K22" s="390">
        <v>4.6</v>
      </c>
      <c r="L22" s="390">
        <v>0.1</v>
      </c>
      <c r="M22" s="390">
        <v>0</v>
      </c>
      <c r="N22" s="390"/>
      <c r="O22" s="390"/>
      <c r="P22" s="258">
        <f t="shared" si="2"/>
        <v>9.4</v>
      </c>
      <c r="Q22" s="391">
        <f t="shared" si="3"/>
        <v>9.700000000000001</v>
      </c>
      <c r="R22" s="392">
        <v>179.03225806451613</v>
      </c>
      <c r="S22" s="393">
        <v>166.5</v>
      </c>
    </row>
    <row r="23" spans="2:19" ht="54" customHeight="1" thickBot="1">
      <c r="B23" s="158" t="s">
        <v>257</v>
      </c>
      <c r="C23" s="231">
        <f>SUM(C16:C22)</f>
        <v>0.5</v>
      </c>
      <c r="D23" s="253">
        <f aca="true" t="shared" si="6" ref="D23:S23">SUM(D16:D22)</f>
        <v>1.02</v>
      </c>
      <c r="E23" s="253">
        <f t="shared" si="6"/>
        <v>0.18</v>
      </c>
      <c r="F23" s="253">
        <f t="shared" si="6"/>
        <v>0</v>
      </c>
      <c r="G23" s="252">
        <f t="shared" si="4"/>
        <v>1.7</v>
      </c>
      <c r="H23" s="231">
        <f t="shared" si="6"/>
        <v>9.07</v>
      </c>
      <c r="I23" s="253">
        <f t="shared" si="6"/>
        <v>0.01</v>
      </c>
      <c r="J23" s="253">
        <f t="shared" si="6"/>
        <v>12.350000000000001</v>
      </c>
      <c r="K23" s="253">
        <f t="shared" si="6"/>
        <v>8.73</v>
      </c>
      <c r="L23" s="253">
        <f t="shared" si="6"/>
        <v>0.1</v>
      </c>
      <c r="M23" s="253">
        <f t="shared" si="6"/>
        <v>1.22</v>
      </c>
      <c r="N23" s="253">
        <f t="shared" si="6"/>
        <v>0.72</v>
      </c>
      <c r="O23" s="253">
        <f t="shared" si="6"/>
        <v>0.2</v>
      </c>
      <c r="P23" s="252">
        <f t="shared" si="2"/>
        <v>32.400000000000006</v>
      </c>
      <c r="Q23" s="394">
        <f t="shared" si="3"/>
        <v>34.10000000000001</v>
      </c>
      <c r="R23" s="395">
        <f t="shared" si="6"/>
        <v>459.73225806451615</v>
      </c>
      <c r="S23" s="262">
        <f t="shared" si="6"/>
        <v>409.5</v>
      </c>
    </row>
    <row r="24" spans="1:19" ht="54" customHeight="1">
      <c r="A24" s="74"/>
      <c r="B24" s="136" t="s">
        <v>207</v>
      </c>
      <c r="C24" s="405"/>
      <c r="D24" s="254"/>
      <c r="E24" s="254">
        <v>0.16</v>
      </c>
      <c r="F24" s="254"/>
      <c r="G24" s="406">
        <f t="shared" si="4"/>
        <v>0.16</v>
      </c>
      <c r="H24" s="405">
        <v>27.11</v>
      </c>
      <c r="I24" s="407"/>
      <c r="J24" s="407">
        <v>13.8</v>
      </c>
      <c r="K24" s="407"/>
      <c r="L24" s="407">
        <v>0.1</v>
      </c>
      <c r="M24" s="407">
        <v>1.24</v>
      </c>
      <c r="N24" s="407"/>
      <c r="O24" s="407"/>
      <c r="P24" s="238">
        <f t="shared" si="2"/>
        <v>42.25</v>
      </c>
      <c r="Q24" s="408">
        <f t="shared" si="3"/>
        <v>42.41</v>
      </c>
      <c r="R24" s="409">
        <v>921</v>
      </c>
      <c r="S24" s="257">
        <v>921</v>
      </c>
    </row>
    <row r="25" spans="1:19" ht="54" customHeight="1">
      <c r="A25" s="74"/>
      <c r="B25" s="155" t="s">
        <v>298</v>
      </c>
      <c r="C25" s="387"/>
      <c r="D25" s="388"/>
      <c r="E25" s="388">
        <v>0.25</v>
      </c>
      <c r="F25" s="388"/>
      <c r="G25" s="389">
        <f t="shared" si="4"/>
        <v>0.25</v>
      </c>
      <c r="H25" s="387">
        <v>24.01</v>
      </c>
      <c r="I25" s="390"/>
      <c r="J25" s="390">
        <v>15.51</v>
      </c>
      <c r="K25" s="390"/>
      <c r="L25" s="390"/>
      <c r="M25" s="390">
        <v>0.58</v>
      </c>
      <c r="N25" s="390"/>
      <c r="O25" s="390"/>
      <c r="P25" s="258">
        <f t="shared" si="2"/>
        <v>40.1</v>
      </c>
      <c r="Q25" s="391">
        <f t="shared" si="3"/>
        <v>40.35</v>
      </c>
      <c r="R25" s="392">
        <v>884</v>
      </c>
      <c r="S25" s="393">
        <v>884</v>
      </c>
    </row>
    <row r="26" spans="1:19" ht="54" customHeight="1">
      <c r="A26" s="74"/>
      <c r="B26" s="155" t="s">
        <v>296</v>
      </c>
      <c r="C26" s="387"/>
      <c r="D26" s="388">
        <v>0.2</v>
      </c>
      <c r="E26" s="388"/>
      <c r="F26" s="388"/>
      <c r="G26" s="389">
        <f t="shared" si="4"/>
        <v>0.2</v>
      </c>
      <c r="H26" s="387">
        <v>0.4</v>
      </c>
      <c r="I26" s="390"/>
      <c r="J26" s="390">
        <v>0.2</v>
      </c>
      <c r="K26" s="390">
        <v>0.2</v>
      </c>
      <c r="L26" s="390"/>
      <c r="M26" s="390"/>
      <c r="N26" s="390"/>
      <c r="O26" s="390"/>
      <c r="P26" s="258">
        <f t="shared" si="2"/>
        <v>0.8</v>
      </c>
      <c r="Q26" s="391">
        <f t="shared" si="3"/>
        <v>1</v>
      </c>
      <c r="R26" s="392">
        <v>15</v>
      </c>
      <c r="S26" s="393">
        <v>14</v>
      </c>
    </row>
    <row r="27" spans="1:19" ht="54" customHeight="1">
      <c r="A27" s="74"/>
      <c r="B27" s="134" t="s">
        <v>299</v>
      </c>
      <c r="C27" s="410"/>
      <c r="D27" s="245"/>
      <c r="E27" s="245"/>
      <c r="F27" s="245"/>
      <c r="G27" s="389">
        <f t="shared" si="4"/>
        <v>0</v>
      </c>
      <c r="H27" s="410">
        <v>7.81</v>
      </c>
      <c r="I27" s="411"/>
      <c r="J27" s="411">
        <v>2.54</v>
      </c>
      <c r="K27" s="411"/>
      <c r="L27" s="411">
        <v>0.08</v>
      </c>
      <c r="M27" s="411">
        <v>0.34</v>
      </c>
      <c r="N27" s="411"/>
      <c r="O27" s="411"/>
      <c r="P27" s="258">
        <f t="shared" si="2"/>
        <v>10.77</v>
      </c>
      <c r="Q27" s="412">
        <f t="shared" si="3"/>
        <v>10.77</v>
      </c>
      <c r="R27" s="413">
        <v>178</v>
      </c>
      <c r="S27" s="250">
        <v>178</v>
      </c>
    </row>
    <row r="28" spans="2:19" ht="54" customHeight="1" thickBot="1">
      <c r="B28" s="158" t="s">
        <v>255</v>
      </c>
      <c r="C28" s="231">
        <f>SUM(C24:C27)</f>
        <v>0</v>
      </c>
      <c r="D28" s="253">
        <f aca="true" t="shared" si="7" ref="D28:S28">SUM(D24:D27)</f>
        <v>0.2</v>
      </c>
      <c r="E28" s="253">
        <f t="shared" si="7"/>
        <v>0.41000000000000003</v>
      </c>
      <c r="F28" s="253">
        <f t="shared" si="7"/>
        <v>0</v>
      </c>
      <c r="G28" s="253">
        <f t="shared" si="4"/>
        <v>0.6100000000000001</v>
      </c>
      <c r="H28" s="231">
        <f t="shared" si="7"/>
        <v>59.330000000000005</v>
      </c>
      <c r="I28" s="253">
        <f t="shared" si="7"/>
        <v>0</v>
      </c>
      <c r="J28" s="253">
        <f t="shared" si="7"/>
        <v>32.050000000000004</v>
      </c>
      <c r="K28" s="253">
        <f t="shared" si="7"/>
        <v>0.2</v>
      </c>
      <c r="L28" s="253">
        <f t="shared" si="7"/>
        <v>0.18</v>
      </c>
      <c r="M28" s="253">
        <f t="shared" si="7"/>
        <v>2.1599999999999997</v>
      </c>
      <c r="N28" s="253">
        <f t="shared" si="7"/>
        <v>0</v>
      </c>
      <c r="O28" s="253">
        <f t="shared" si="7"/>
        <v>0</v>
      </c>
      <c r="P28" s="414">
        <f t="shared" si="2"/>
        <v>93.92000000000002</v>
      </c>
      <c r="Q28" s="394">
        <f t="shared" si="3"/>
        <v>94.53000000000002</v>
      </c>
      <c r="R28" s="395">
        <f t="shared" si="7"/>
        <v>1998</v>
      </c>
      <c r="S28" s="262">
        <f t="shared" si="7"/>
        <v>1997</v>
      </c>
    </row>
    <row r="29" spans="1:19" ht="54" customHeight="1">
      <c r="A29" s="74"/>
      <c r="B29" s="155" t="s">
        <v>241</v>
      </c>
      <c r="C29" s="415">
        <v>0</v>
      </c>
      <c r="D29" s="388">
        <v>0.3</v>
      </c>
      <c r="E29" s="388">
        <v>0</v>
      </c>
      <c r="F29" s="388">
        <v>0</v>
      </c>
      <c r="G29" s="389">
        <f t="shared" si="4"/>
        <v>0.3</v>
      </c>
      <c r="H29" s="387">
        <v>1.1</v>
      </c>
      <c r="I29" s="388">
        <v>0</v>
      </c>
      <c r="J29" s="390">
        <v>1.3</v>
      </c>
      <c r="K29" s="390">
        <v>0.6</v>
      </c>
      <c r="L29" s="390">
        <v>0.1</v>
      </c>
      <c r="M29" s="390">
        <v>0.1</v>
      </c>
      <c r="N29" s="388">
        <v>0</v>
      </c>
      <c r="O29" s="388">
        <v>0</v>
      </c>
      <c r="P29" s="258">
        <f t="shared" si="2"/>
        <v>3.2000000000000006</v>
      </c>
      <c r="Q29" s="391">
        <f t="shared" si="3"/>
        <v>3.5000000000000004</v>
      </c>
      <c r="R29" s="392">
        <v>49</v>
      </c>
      <c r="S29" s="393">
        <v>39</v>
      </c>
    </row>
    <row r="30" spans="1:19" ht="54" customHeight="1">
      <c r="A30" s="74"/>
      <c r="B30" s="134" t="s">
        <v>240</v>
      </c>
      <c r="C30" s="387"/>
      <c r="D30" s="388"/>
      <c r="E30" s="388"/>
      <c r="F30" s="388"/>
      <c r="G30" s="389">
        <f t="shared" si="4"/>
        <v>0</v>
      </c>
      <c r="H30" s="387">
        <v>0.5</v>
      </c>
      <c r="I30" s="390">
        <v>0.25</v>
      </c>
      <c r="J30" s="390">
        <v>0.55</v>
      </c>
      <c r="K30" s="390">
        <v>0.3</v>
      </c>
      <c r="L30" s="390">
        <v>0.25</v>
      </c>
      <c r="M30" s="390">
        <v>0.2</v>
      </c>
      <c r="N30" s="390"/>
      <c r="O30" s="390"/>
      <c r="P30" s="258">
        <f t="shared" si="2"/>
        <v>2.0500000000000003</v>
      </c>
      <c r="Q30" s="391">
        <f t="shared" si="3"/>
        <v>2.0500000000000003</v>
      </c>
      <c r="R30" s="392">
        <v>4.5</v>
      </c>
      <c r="S30" s="393">
        <v>3.6</v>
      </c>
    </row>
    <row r="31" spans="2:19" ht="54" customHeight="1" thickBot="1">
      <c r="B31" s="158" t="s">
        <v>256</v>
      </c>
      <c r="C31" s="231">
        <f>SUM(C29:C30)</f>
        <v>0</v>
      </c>
      <c r="D31" s="253">
        <f aca="true" t="shared" si="8" ref="D31:S31">SUM(D29:D30)</f>
        <v>0.3</v>
      </c>
      <c r="E31" s="253">
        <f t="shared" si="8"/>
        <v>0</v>
      </c>
      <c r="F31" s="253">
        <f t="shared" si="8"/>
        <v>0</v>
      </c>
      <c r="G31" s="252">
        <f t="shared" si="4"/>
        <v>0.3</v>
      </c>
      <c r="H31" s="231">
        <f t="shared" si="8"/>
        <v>1.6</v>
      </c>
      <c r="I31" s="253">
        <f t="shared" si="8"/>
        <v>0.25</v>
      </c>
      <c r="J31" s="253">
        <f t="shared" si="8"/>
        <v>1.85</v>
      </c>
      <c r="K31" s="253">
        <f t="shared" si="8"/>
        <v>0.8999999999999999</v>
      </c>
      <c r="L31" s="253">
        <f t="shared" si="8"/>
        <v>0.35</v>
      </c>
      <c r="M31" s="253">
        <f t="shared" si="8"/>
        <v>0.30000000000000004</v>
      </c>
      <c r="N31" s="253">
        <f t="shared" si="8"/>
        <v>0</v>
      </c>
      <c r="O31" s="253">
        <f t="shared" si="8"/>
        <v>0</v>
      </c>
      <c r="P31" s="252">
        <f t="shared" si="2"/>
        <v>5.249999999999999</v>
      </c>
      <c r="Q31" s="394">
        <f t="shared" si="3"/>
        <v>5.549999999999999</v>
      </c>
      <c r="R31" s="395">
        <f t="shared" si="8"/>
        <v>53.5</v>
      </c>
      <c r="S31" s="262">
        <f t="shared" si="8"/>
        <v>42.6</v>
      </c>
    </row>
    <row r="32" spans="2:19" ht="54" customHeight="1" thickBot="1">
      <c r="B32" s="159" t="s">
        <v>245</v>
      </c>
      <c r="C32" s="235">
        <f>SUM(C13,C15,C23,C28,C31)</f>
        <v>0.5</v>
      </c>
      <c r="D32" s="272">
        <f>SUM(D13,D15,D23,D28,D31)</f>
        <v>9.448333333333332</v>
      </c>
      <c r="E32" s="272">
        <f>SUM(E13,E15,E23,E28,E31)</f>
        <v>0.5900000000000001</v>
      </c>
      <c r="F32" s="272">
        <f>SUM(F13,F15,F23,F28,F31)</f>
        <v>0</v>
      </c>
      <c r="G32" s="273">
        <f t="shared" si="4"/>
        <v>10.538333333333332</v>
      </c>
      <c r="H32" s="235">
        <f aca="true" t="shared" si="9" ref="H32:O32">SUM(H13,H15,H23,H28,H31)</f>
        <v>112.5</v>
      </c>
      <c r="I32" s="272">
        <f t="shared" si="9"/>
        <v>0.26</v>
      </c>
      <c r="J32" s="272">
        <f t="shared" si="9"/>
        <v>69.15</v>
      </c>
      <c r="K32" s="272">
        <f t="shared" si="9"/>
        <v>14.73</v>
      </c>
      <c r="L32" s="272">
        <f t="shared" si="9"/>
        <v>1.2799999999999998</v>
      </c>
      <c r="M32" s="272">
        <f t="shared" si="9"/>
        <v>5.853333333333333</v>
      </c>
      <c r="N32" s="272">
        <f t="shared" si="9"/>
        <v>2.52</v>
      </c>
      <c r="O32" s="272">
        <f t="shared" si="9"/>
        <v>0.8999999999999999</v>
      </c>
      <c r="P32" s="273">
        <f t="shared" si="2"/>
        <v>207.19333333333336</v>
      </c>
      <c r="Q32" s="416">
        <f>SUM(G32,P32)</f>
        <v>217.73166666666668</v>
      </c>
      <c r="R32" s="275">
        <f>SUM(R13,R15,R23,R28,R31)</f>
        <v>4340.277704572031</v>
      </c>
      <c r="S32" s="416">
        <f>SUM(S13,S15,S23,S28,S31)</f>
        <v>4266.145446507516</v>
      </c>
    </row>
  </sheetData>
  <sheetProtection/>
  <mergeCells count="7">
    <mergeCell ref="H5:P5"/>
    <mergeCell ref="N6:O6"/>
    <mergeCell ref="R1:S1"/>
    <mergeCell ref="H6:I6"/>
    <mergeCell ref="K6:M6"/>
    <mergeCell ref="C5:G5"/>
    <mergeCell ref="C6:D6"/>
  </mergeCells>
  <printOptions horizontalCentered="1"/>
  <pageMargins left="0.1968503937007874" right="0.1968503937007874" top="1.5748031496062993" bottom="0.7874015748031497" header="0" footer="0"/>
  <pageSetup horizontalDpi="600" verticalDpi="600" orientation="portrait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9"/>
  <sheetViews>
    <sheetView showOutlineSymbols="0" view="pageBreakPreview" zoomScale="50" zoomScaleNormal="40" zoomScaleSheetLayoutView="50" zoomScalePageLayoutView="0" workbookViewId="0" topLeftCell="A1">
      <selection activeCell="R1" sqref="R1"/>
    </sheetView>
  </sheetViews>
  <sheetFormatPr defaultColWidth="10.75390625" defaultRowHeight="54" customHeight="1"/>
  <cols>
    <col min="1" max="1" width="7.625" style="1" customWidth="1"/>
    <col min="2" max="2" width="20.625" style="1" customWidth="1"/>
    <col min="3" max="25" width="10.625" style="1" customWidth="1"/>
    <col min="26" max="26" width="11.00390625" style="1" customWidth="1"/>
    <col min="27" max="27" width="10.875" style="1" customWidth="1"/>
    <col min="28" max="30" width="15.625" style="1" customWidth="1"/>
    <col min="31" max="31" width="15.75390625" style="1" customWidth="1"/>
    <col min="32" max="32" width="1.75390625" style="1" customWidth="1"/>
    <col min="33" max="16384" width="10.75390625" style="1" customWidth="1"/>
  </cols>
  <sheetData>
    <row r="1" spans="29:31" ht="54" customHeight="1">
      <c r="AC1" s="823"/>
      <c r="AD1" s="823"/>
      <c r="AE1" s="23"/>
    </row>
    <row r="2" spans="2:30" ht="54" customHeight="1">
      <c r="B2" s="2" t="s">
        <v>273</v>
      </c>
      <c r="Z2" s="3"/>
      <c r="AD2" s="70"/>
    </row>
    <row r="3" spans="2:26" ht="54" customHeight="1">
      <c r="B3" s="2"/>
      <c r="Z3" s="3"/>
    </row>
    <row r="4" spans="2:28" ht="54" customHeight="1" thickBot="1">
      <c r="B4" s="4" t="s">
        <v>278</v>
      </c>
      <c r="O4" s="38"/>
      <c r="AB4" s="6"/>
    </row>
    <row r="5" spans="2:31" ht="54" customHeight="1">
      <c r="B5" s="30"/>
      <c r="C5" s="796" t="s">
        <v>24</v>
      </c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70"/>
      <c r="O5" s="194" t="s">
        <v>250</v>
      </c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5"/>
      <c r="AC5" s="30" t="s">
        <v>118</v>
      </c>
      <c r="AD5" s="82" t="s">
        <v>119</v>
      </c>
      <c r="AE5" s="63" t="s">
        <v>120</v>
      </c>
    </row>
    <row r="6" spans="2:31" ht="54" customHeight="1">
      <c r="B6" s="9" t="s">
        <v>0</v>
      </c>
      <c r="C6" s="134" t="s">
        <v>40</v>
      </c>
      <c r="D6" s="755" t="s">
        <v>80</v>
      </c>
      <c r="E6" s="756"/>
      <c r="F6" s="756"/>
      <c r="G6" s="756"/>
      <c r="H6" s="756"/>
      <c r="I6" s="756"/>
      <c r="J6" s="761"/>
      <c r="K6" s="756" t="s">
        <v>27</v>
      </c>
      <c r="L6" s="756"/>
      <c r="M6" s="756"/>
      <c r="N6" s="53"/>
      <c r="O6" s="115" t="s">
        <v>28</v>
      </c>
      <c r="P6" s="223" t="s">
        <v>68</v>
      </c>
      <c r="Q6" s="223"/>
      <c r="R6" s="223"/>
      <c r="S6" s="223"/>
      <c r="T6" s="223"/>
      <c r="U6" s="223"/>
      <c r="V6" s="223"/>
      <c r="W6" s="223"/>
      <c r="X6" s="224" t="s">
        <v>29</v>
      </c>
      <c r="Y6" s="224"/>
      <c r="Z6" s="224"/>
      <c r="AA6" s="31" t="s">
        <v>20</v>
      </c>
      <c r="AB6" s="53"/>
      <c r="AC6" s="9" t="s">
        <v>49</v>
      </c>
      <c r="AD6" s="83" t="s">
        <v>49</v>
      </c>
      <c r="AE6" s="64" t="s">
        <v>49</v>
      </c>
    </row>
    <row r="7" spans="2:31" ht="54" customHeight="1" thickBot="1">
      <c r="B7" s="32"/>
      <c r="C7" s="93" t="s">
        <v>167</v>
      </c>
      <c r="D7" s="18" t="s">
        <v>77</v>
      </c>
      <c r="E7" s="94" t="s">
        <v>78</v>
      </c>
      <c r="F7" s="50" t="s">
        <v>110</v>
      </c>
      <c r="G7" s="21" t="s">
        <v>111</v>
      </c>
      <c r="H7" s="19" t="s">
        <v>168</v>
      </c>
      <c r="I7" s="19" t="s">
        <v>169</v>
      </c>
      <c r="J7" s="95" t="s">
        <v>170</v>
      </c>
      <c r="K7" s="19" t="s">
        <v>79</v>
      </c>
      <c r="L7" s="112" t="s">
        <v>171</v>
      </c>
      <c r="M7" s="112" t="s">
        <v>172</v>
      </c>
      <c r="N7" s="15" t="s">
        <v>26</v>
      </c>
      <c r="O7" s="191" t="s">
        <v>81</v>
      </c>
      <c r="P7" s="10" t="s">
        <v>173</v>
      </c>
      <c r="Q7" s="96" t="s">
        <v>82</v>
      </c>
      <c r="R7" s="13" t="s">
        <v>83</v>
      </c>
      <c r="S7" s="18" t="s">
        <v>174</v>
      </c>
      <c r="T7" s="20" t="s">
        <v>204</v>
      </c>
      <c r="U7" s="18" t="s">
        <v>57</v>
      </c>
      <c r="V7" s="18" t="s">
        <v>44</v>
      </c>
      <c r="W7" s="20" t="s">
        <v>203</v>
      </c>
      <c r="X7" s="36" t="s">
        <v>58</v>
      </c>
      <c r="Y7" s="36" t="s">
        <v>122</v>
      </c>
      <c r="Z7" s="73" t="s">
        <v>206</v>
      </c>
      <c r="AA7" s="113" t="s">
        <v>127</v>
      </c>
      <c r="AB7" s="111" t="s">
        <v>6</v>
      </c>
      <c r="AC7" s="37" t="s">
        <v>138</v>
      </c>
      <c r="AD7" s="84" t="s">
        <v>139</v>
      </c>
      <c r="AE7" s="65" t="s">
        <v>139</v>
      </c>
    </row>
    <row r="8" spans="1:31" ht="54" customHeight="1">
      <c r="A8" s="85"/>
      <c r="B8" s="120" t="s">
        <v>217</v>
      </c>
      <c r="C8" s="417"/>
      <c r="D8" s="418"/>
      <c r="E8" s="418">
        <v>0.56</v>
      </c>
      <c r="F8" s="418"/>
      <c r="G8" s="418"/>
      <c r="H8" s="418"/>
      <c r="I8" s="418"/>
      <c r="J8" s="418"/>
      <c r="K8" s="418"/>
      <c r="L8" s="419"/>
      <c r="M8" s="419"/>
      <c r="N8" s="420">
        <f>SUM(C8:M8)</f>
        <v>0.56</v>
      </c>
      <c r="O8" s="421">
        <v>0.11</v>
      </c>
      <c r="P8" s="419"/>
      <c r="Q8" s="418"/>
      <c r="R8" s="419"/>
      <c r="S8" s="418">
        <v>0.19</v>
      </c>
      <c r="T8" s="418"/>
      <c r="U8" s="418"/>
      <c r="V8" s="418"/>
      <c r="W8" s="418">
        <v>0.06</v>
      </c>
      <c r="X8" s="418"/>
      <c r="Y8" s="418"/>
      <c r="Z8" s="418"/>
      <c r="AA8" s="418"/>
      <c r="AB8" s="420">
        <f>SUM(O8:AA8)</f>
        <v>0.36</v>
      </c>
      <c r="AC8" s="422">
        <f>SUM(N8,AB8)</f>
        <v>0.92</v>
      </c>
      <c r="AD8" s="423">
        <v>7.1</v>
      </c>
      <c r="AE8" s="424">
        <v>6.6</v>
      </c>
    </row>
    <row r="9" spans="1:31" ht="54" customHeight="1">
      <c r="A9" s="74"/>
      <c r="B9" s="92" t="s">
        <v>211</v>
      </c>
      <c r="C9" s="425"/>
      <c r="D9" s="426"/>
      <c r="E9" s="426"/>
      <c r="F9" s="426"/>
      <c r="G9" s="426"/>
      <c r="H9" s="426"/>
      <c r="I9" s="426"/>
      <c r="J9" s="426"/>
      <c r="K9" s="426"/>
      <c r="L9" s="427"/>
      <c r="M9" s="427"/>
      <c r="N9" s="428">
        <f aca="true" t="shared" si="0" ref="N9:N29">SUM(C9:M9)</f>
        <v>0</v>
      </c>
      <c r="O9" s="429"/>
      <c r="P9" s="427"/>
      <c r="Q9" s="426"/>
      <c r="R9" s="427"/>
      <c r="S9" s="426"/>
      <c r="T9" s="426"/>
      <c r="U9" s="426"/>
      <c r="V9" s="426"/>
      <c r="W9" s="426"/>
      <c r="X9" s="426"/>
      <c r="Y9" s="426"/>
      <c r="Z9" s="426"/>
      <c r="AA9" s="426">
        <v>0.1</v>
      </c>
      <c r="AB9" s="428">
        <f>SUM(O9:AA9)</f>
        <v>0.1</v>
      </c>
      <c r="AC9" s="430">
        <f>SUM(N9,AB9)</f>
        <v>0.1</v>
      </c>
      <c r="AD9" s="431">
        <v>1</v>
      </c>
      <c r="AE9" s="432">
        <v>1</v>
      </c>
    </row>
    <row r="10" spans="2:31" ht="54" customHeight="1" thickBot="1">
      <c r="B10" s="22" t="s">
        <v>252</v>
      </c>
      <c r="C10" s="433">
        <f>SUM(C8:C9)</f>
        <v>0</v>
      </c>
      <c r="D10" s="434">
        <f aca="true" t="shared" si="1" ref="D10:AE10">SUM(D8:D9)</f>
        <v>0</v>
      </c>
      <c r="E10" s="434">
        <f t="shared" si="1"/>
        <v>0.56</v>
      </c>
      <c r="F10" s="434">
        <f t="shared" si="1"/>
        <v>0</v>
      </c>
      <c r="G10" s="434">
        <f t="shared" si="1"/>
        <v>0</v>
      </c>
      <c r="H10" s="434">
        <f t="shared" si="1"/>
        <v>0</v>
      </c>
      <c r="I10" s="434">
        <f t="shared" si="1"/>
        <v>0</v>
      </c>
      <c r="J10" s="434">
        <f t="shared" si="1"/>
        <v>0</v>
      </c>
      <c r="K10" s="434">
        <f t="shared" si="1"/>
        <v>0</v>
      </c>
      <c r="L10" s="434">
        <f t="shared" si="1"/>
        <v>0</v>
      </c>
      <c r="M10" s="434">
        <f t="shared" si="1"/>
        <v>0</v>
      </c>
      <c r="N10" s="435">
        <f t="shared" si="0"/>
        <v>0.56</v>
      </c>
      <c r="O10" s="436">
        <f t="shared" si="1"/>
        <v>0.11</v>
      </c>
      <c r="P10" s="434">
        <f t="shared" si="1"/>
        <v>0</v>
      </c>
      <c r="Q10" s="434">
        <f t="shared" si="1"/>
        <v>0</v>
      </c>
      <c r="R10" s="434">
        <f t="shared" si="1"/>
        <v>0</v>
      </c>
      <c r="S10" s="434">
        <f t="shared" si="1"/>
        <v>0.19</v>
      </c>
      <c r="T10" s="434">
        <f t="shared" si="1"/>
        <v>0</v>
      </c>
      <c r="U10" s="434">
        <f t="shared" si="1"/>
        <v>0</v>
      </c>
      <c r="V10" s="434">
        <f t="shared" si="1"/>
        <v>0</v>
      </c>
      <c r="W10" s="434">
        <f>SUM(W8:W9)</f>
        <v>0.06</v>
      </c>
      <c r="X10" s="434">
        <f t="shared" si="1"/>
        <v>0</v>
      </c>
      <c r="Y10" s="434">
        <f t="shared" si="1"/>
        <v>0</v>
      </c>
      <c r="Z10" s="434">
        <f t="shared" si="1"/>
        <v>0</v>
      </c>
      <c r="AA10" s="434">
        <f t="shared" si="1"/>
        <v>0.1</v>
      </c>
      <c r="AB10" s="436">
        <f>SUM(O10:AA10)</f>
        <v>0.45999999999999996</v>
      </c>
      <c r="AC10" s="437">
        <f>SUM(N10,AB10)</f>
        <v>1.02</v>
      </c>
      <c r="AD10" s="437">
        <f t="shared" si="1"/>
        <v>8.1</v>
      </c>
      <c r="AE10" s="447">
        <f t="shared" si="1"/>
        <v>7.6</v>
      </c>
    </row>
    <row r="11" spans="1:31" ht="54" customHeight="1">
      <c r="A11" s="85"/>
      <c r="B11" s="128" t="s">
        <v>221</v>
      </c>
      <c r="C11" s="438">
        <v>0.1</v>
      </c>
      <c r="D11" s="439" t="s">
        <v>292</v>
      </c>
      <c r="E11" s="439">
        <v>0.97</v>
      </c>
      <c r="F11" s="439" t="s">
        <v>292</v>
      </c>
      <c r="G11" s="439" t="s">
        <v>292</v>
      </c>
      <c r="H11" s="439">
        <v>0.16</v>
      </c>
      <c r="I11" s="439" t="s">
        <v>292</v>
      </c>
      <c r="J11" s="439" t="s">
        <v>292</v>
      </c>
      <c r="K11" s="439" t="s">
        <v>292</v>
      </c>
      <c r="L11" s="440" t="s">
        <v>292</v>
      </c>
      <c r="M11" s="440" t="s">
        <v>292</v>
      </c>
      <c r="N11" s="441">
        <f>SUM(C11:M11)</f>
        <v>1.23</v>
      </c>
      <c r="O11" s="438" t="s">
        <v>292</v>
      </c>
      <c r="P11" s="440" t="s">
        <v>292</v>
      </c>
      <c r="Q11" s="439" t="s">
        <v>292</v>
      </c>
      <c r="R11" s="440" t="s">
        <v>292</v>
      </c>
      <c r="S11" s="439" t="s">
        <v>292</v>
      </c>
      <c r="T11" s="439" t="s">
        <v>292</v>
      </c>
      <c r="U11" s="439" t="s">
        <v>292</v>
      </c>
      <c r="V11" s="439" t="s">
        <v>292</v>
      </c>
      <c r="W11" s="439" t="s">
        <v>292</v>
      </c>
      <c r="X11" s="439" t="s">
        <v>292</v>
      </c>
      <c r="Y11" s="439" t="s">
        <v>292</v>
      </c>
      <c r="Z11" s="439" t="s">
        <v>292</v>
      </c>
      <c r="AA11" s="439" t="s">
        <v>292</v>
      </c>
      <c r="AB11" s="441">
        <v>0</v>
      </c>
      <c r="AC11" s="422">
        <f>AB11+N11</f>
        <v>1.23</v>
      </c>
      <c r="AD11" s="443">
        <v>16.945</v>
      </c>
      <c r="AE11" s="444">
        <v>16.9</v>
      </c>
    </row>
    <row r="12" spans="1:31" ht="54" customHeight="1">
      <c r="A12" s="85"/>
      <c r="B12" s="192" t="s">
        <v>303</v>
      </c>
      <c r="C12" s="417"/>
      <c r="D12" s="418">
        <v>10.2</v>
      </c>
      <c r="E12" s="418"/>
      <c r="F12" s="418"/>
      <c r="G12" s="418"/>
      <c r="H12" s="418"/>
      <c r="I12" s="418"/>
      <c r="J12" s="418"/>
      <c r="K12" s="418">
        <v>5</v>
      </c>
      <c r="L12" s="419"/>
      <c r="M12" s="419"/>
      <c r="N12" s="420">
        <v>15.2</v>
      </c>
      <c r="O12" s="419">
        <v>2.5</v>
      </c>
      <c r="P12" s="419"/>
      <c r="Q12" s="418">
        <v>1.3</v>
      </c>
      <c r="R12" s="419"/>
      <c r="S12" s="418">
        <v>4.8</v>
      </c>
      <c r="T12" s="418"/>
      <c r="U12" s="418"/>
      <c r="V12" s="418"/>
      <c r="W12" s="418">
        <v>3.5</v>
      </c>
      <c r="X12" s="418"/>
      <c r="Y12" s="418"/>
      <c r="Z12" s="418"/>
      <c r="AA12" s="445"/>
      <c r="AB12" s="420">
        <v>12.1</v>
      </c>
      <c r="AC12" s="722">
        <f>AB12+N12</f>
        <v>27.299999999999997</v>
      </c>
      <c r="AD12" s="453">
        <v>281</v>
      </c>
      <c r="AE12" s="747">
        <v>252</v>
      </c>
    </row>
    <row r="13" spans="1:32" ht="54" customHeight="1">
      <c r="A13" s="85"/>
      <c r="B13" s="92" t="s">
        <v>220</v>
      </c>
      <c r="C13" s="664">
        <v>0.2</v>
      </c>
      <c r="D13" s="718"/>
      <c r="E13" s="665">
        <f>(1.9-2.4)/3+1.9</f>
        <v>1.7333333333333332</v>
      </c>
      <c r="F13" s="718"/>
      <c r="G13" s="718"/>
      <c r="H13" s="718"/>
      <c r="I13" s="718"/>
      <c r="J13" s="718"/>
      <c r="K13" s="718"/>
      <c r="L13" s="666">
        <f>(1.3-1.2)/3+1.2</f>
        <v>1.2333333333333334</v>
      </c>
      <c r="M13" s="719"/>
      <c r="N13" s="720">
        <f>SUM(C13:M13)</f>
        <v>3.1666666666666665</v>
      </c>
      <c r="O13" s="721"/>
      <c r="P13" s="664">
        <v>0.9</v>
      </c>
      <c r="Q13" s="719"/>
      <c r="R13" s="718"/>
      <c r="S13" s="665">
        <f>(0.5-1.1)/3+0.5</f>
        <v>0.29999999999999993</v>
      </c>
      <c r="T13" s="665"/>
      <c r="U13" s="665"/>
      <c r="V13" s="665"/>
      <c r="W13" s="665">
        <f>(1.3-1.6)/3+1.3</f>
        <v>1.2</v>
      </c>
      <c r="X13" s="718"/>
      <c r="Y13" s="718"/>
      <c r="Z13" s="718"/>
      <c r="AA13" s="718"/>
      <c r="AB13" s="428">
        <f>SUM(O13:AA13)</f>
        <v>2.4</v>
      </c>
      <c r="AC13" s="722">
        <f>AB13+N13</f>
        <v>5.566666666666666</v>
      </c>
      <c r="AD13" s="667">
        <f>64.8/6.2*AC13</f>
        <v>58.180645161290315</v>
      </c>
      <c r="AE13" s="723">
        <f>AD13</f>
        <v>58.180645161290315</v>
      </c>
      <c r="AF13" s="667">
        <f>64.8/6.2*AE13</f>
        <v>608.0815816857439</v>
      </c>
    </row>
    <row r="14" spans="2:31" ht="54" customHeight="1" thickBot="1">
      <c r="B14" s="22" t="s">
        <v>253</v>
      </c>
      <c r="C14" s="436">
        <f>SUM(C11:C13)</f>
        <v>0.30000000000000004</v>
      </c>
      <c r="D14" s="434">
        <f aca="true" t="shared" si="2" ref="D14:AC14">SUM(D11:D13)</f>
        <v>10.2</v>
      </c>
      <c r="E14" s="434">
        <f t="shared" si="2"/>
        <v>2.703333333333333</v>
      </c>
      <c r="F14" s="434">
        <f t="shared" si="2"/>
        <v>0</v>
      </c>
      <c r="G14" s="434">
        <f t="shared" si="2"/>
        <v>0</v>
      </c>
      <c r="H14" s="434">
        <f t="shared" si="2"/>
        <v>0.16</v>
      </c>
      <c r="I14" s="434">
        <f t="shared" si="2"/>
        <v>0</v>
      </c>
      <c r="J14" s="434">
        <f t="shared" si="2"/>
        <v>0</v>
      </c>
      <c r="K14" s="434">
        <f t="shared" si="2"/>
        <v>5</v>
      </c>
      <c r="L14" s="434">
        <f t="shared" si="2"/>
        <v>1.2333333333333334</v>
      </c>
      <c r="M14" s="434">
        <f t="shared" si="2"/>
        <v>0</v>
      </c>
      <c r="N14" s="435">
        <f t="shared" si="0"/>
        <v>19.596666666666668</v>
      </c>
      <c r="O14" s="436">
        <f t="shared" si="2"/>
        <v>2.5</v>
      </c>
      <c r="P14" s="434">
        <f t="shared" si="2"/>
        <v>0.9</v>
      </c>
      <c r="Q14" s="434">
        <f t="shared" si="2"/>
        <v>1.3</v>
      </c>
      <c r="R14" s="434">
        <f t="shared" si="2"/>
        <v>0</v>
      </c>
      <c r="S14" s="434">
        <f t="shared" si="2"/>
        <v>5.1</v>
      </c>
      <c r="T14" s="434">
        <f t="shared" si="2"/>
        <v>0</v>
      </c>
      <c r="U14" s="434">
        <f t="shared" si="2"/>
        <v>0</v>
      </c>
      <c r="V14" s="434">
        <f t="shared" si="2"/>
        <v>0</v>
      </c>
      <c r="W14" s="434">
        <f>SUM(W11:W13)</f>
        <v>4.7</v>
      </c>
      <c r="X14" s="434">
        <f t="shared" si="2"/>
        <v>0</v>
      </c>
      <c r="Y14" s="434">
        <f t="shared" si="2"/>
        <v>0</v>
      </c>
      <c r="Z14" s="434">
        <f t="shared" si="2"/>
        <v>0</v>
      </c>
      <c r="AA14" s="434">
        <f t="shared" si="2"/>
        <v>0</v>
      </c>
      <c r="AB14" s="446">
        <f>SUM(O14:AA14)</f>
        <v>14.5</v>
      </c>
      <c r="AC14" s="437">
        <f t="shared" si="2"/>
        <v>34.096666666666664</v>
      </c>
      <c r="AD14" s="447">
        <f>SUM(AD11:AD13)</f>
        <v>356.1256451612903</v>
      </c>
      <c r="AE14" s="606">
        <f>SUM(AE11:AE13)</f>
        <v>327.0806451612903</v>
      </c>
    </row>
    <row r="15" spans="1:31" ht="54" customHeight="1">
      <c r="A15" s="85"/>
      <c r="B15" s="92" t="s">
        <v>224</v>
      </c>
      <c r="C15" s="425"/>
      <c r="D15" s="426"/>
      <c r="E15" s="426"/>
      <c r="F15" s="426"/>
      <c r="G15" s="426"/>
      <c r="H15" s="426"/>
      <c r="I15" s="426"/>
      <c r="J15" s="426"/>
      <c r="K15" s="426"/>
      <c r="L15" s="427"/>
      <c r="M15" s="427"/>
      <c r="N15" s="428">
        <f t="shared" si="0"/>
        <v>0</v>
      </c>
      <c r="O15" s="429"/>
      <c r="P15" s="427"/>
      <c r="Q15" s="426"/>
      <c r="R15" s="427"/>
      <c r="S15" s="426"/>
      <c r="T15" s="426"/>
      <c r="U15" s="426"/>
      <c r="V15" s="426"/>
      <c r="W15" s="426"/>
      <c r="X15" s="426"/>
      <c r="Y15" s="426"/>
      <c r="Z15" s="426"/>
      <c r="AA15" s="426">
        <v>0.3</v>
      </c>
      <c r="AB15" s="428">
        <f aca="true" t="shared" si="3" ref="AB15:AB29">SUM(O15:AA15)</f>
        <v>0.3</v>
      </c>
      <c r="AC15" s="430">
        <f aca="true" t="shared" si="4" ref="AC15:AC28">SUM(N15,AB15)</f>
        <v>0.3</v>
      </c>
      <c r="AD15" s="431" t="s">
        <v>232</v>
      </c>
      <c r="AE15" s="432" t="s">
        <v>232</v>
      </c>
    </row>
    <row r="16" spans="1:31" ht="54" customHeight="1">
      <c r="A16" s="74"/>
      <c r="B16" s="92" t="s">
        <v>227</v>
      </c>
      <c r="C16" s="425"/>
      <c r="D16" s="426"/>
      <c r="E16" s="426"/>
      <c r="F16" s="426"/>
      <c r="G16" s="426"/>
      <c r="H16" s="426"/>
      <c r="I16" s="426"/>
      <c r="J16" s="426"/>
      <c r="K16" s="426"/>
      <c r="L16" s="427"/>
      <c r="M16" s="427"/>
      <c r="N16" s="428">
        <f t="shared" si="0"/>
        <v>0</v>
      </c>
      <c r="O16" s="429"/>
      <c r="P16" s="427"/>
      <c r="Q16" s="426"/>
      <c r="R16" s="427"/>
      <c r="S16" s="426"/>
      <c r="T16" s="426"/>
      <c r="U16" s="426"/>
      <c r="V16" s="426"/>
      <c r="W16" s="426"/>
      <c r="X16" s="426"/>
      <c r="Y16" s="426"/>
      <c r="Z16" s="426"/>
      <c r="AA16" s="426">
        <v>0.1</v>
      </c>
      <c r="AB16" s="428">
        <f t="shared" si="3"/>
        <v>0.1</v>
      </c>
      <c r="AC16" s="430">
        <f t="shared" si="4"/>
        <v>0.1</v>
      </c>
      <c r="AD16" s="431">
        <v>1</v>
      </c>
      <c r="AE16" s="432">
        <v>0.8</v>
      </c>
    </row>
    <row r="17" spans="1:31" ht="54" customHeight="1">
      <c r="A17" s="74"/>
      <c r="B17" s="92" t="s">
        <v>233</v>
      </c>
      <c r="C17" s="425"/>
      <c r="D17" s="426"/>
      <c r="E17" s="426"/>
      <c r="F17" s="426"/>
      <c r="G17" s="426"/>
      <c r="H17" s="426"/>
      <c r="I17" s="426"/>
      <c r="J17" s="426"/>
      <c r="K17" s="426"/>
      <c r="L17" s="427"/>
      <c r="M17" s="427"/>
      <c r="N17" s="428">
        <f t="shared" si="0"/>
        <v>0</v>
      </c>
      <c r="O17" s="429"/>
      <c r="P17" s="427"/>
      <c r="Q17" s="426"/>
      <c r="R17" s="427"/>
      <c r="S17" s="426"/>
      <c r="T17" s="426"/>
      <c r="U17" s="426"/>
      <c r="V17" s="426"/>
      <c r="W17" s="426"/>
      <c r="X17" s="426">
        <v>1</v>
      </c>
      <c r="Y17" s="426"/>
      <c r="Z17" s="426"/>
      <c r="AA17" s="426"/>
      <c r="AB17" s="428">
        <f t="shared" si="3"/>
        <v>1</v>
      </c>
      <c r="AC17" s="430">
        <f t="shared" si="4"/>
        <v>1</v>
      </c>
      <c r="AD17" s="431">
        <v>1.3</v>
      </c>
      <c r="AE17" s="432">
        <v>1.3</v>
      </c>
    </row>
    <row r="18" spans="2:31" ht="54" customHeight="1" thickBot="1">
      <c r="B18" s="22" t="s">
        <v>257</v>
      </c>
      <c r="C18" s="433">
        <f>SUM(C15:C17)</f>
        <v>0</v>
      </c>
      <c r="D18" s="434">
        <f aca="true" t="shared" si="5" ref="D18:AE18">SUM(D15:D17)</f>
        <v>0</v>
      </c>
      <c r="E18" s="434">
        <f t="shared" si="5"/>
        <v>0</v>
      </c>
      <c r="F18" s="434">
        <f t="shared" si="5"/>
        <v>0</v>
      </c>
      <c r="G18" s="434">
        <f t="shared" si="5"/>
        <v>0</v>
      </c>
      <c r="H18" s="434">
        <f t="shared" si="5"/>
        <v>0</v>
      </c>
      <c r="I18" s="434">
        <f t="shared" si="5"/>
        <v>0</v>
      </c>
      <c r="J18" s="434">
        <f t="shared" si="5"/>
        <v>0</v>
      </c>
      <c r="K18" s="434">
        <f t="shared" si="5"/>
        <v>0</v>
      </c>
      <c r="L18" s="434">
        <f t="shared" si="5"/>
        <v>0</v>
      </c>
      <c r="M18" s="434">
        <f t="shared" si="5"/>
        <v>0</v>
      </c>
      <c r="N18" s="435">
        <f t="shared" si="0"/>
        <v>0</v>
      </c>
      <c r="O18" s="436">
        <f t="shared" si="5"/>
        <v>0</v>
      </c>
      <c r="P18" s="436">
        <f t="shared" si="5"/>
        <v>0</v>
      </c>
      <c r="Q18" s="436">
        <f t="shared" si="5"/>
        <v>0</v>
      </c>
      <c r="R18" s="436">
        <f t="shared" si="5"/>
        <v>0</v>
      </c>
      <c r="S18" s="436">
        <f t="shared" si="5"/>
        <v>0</v>
      </c>
      <c r="T18" s="436">
        <f t="shared" si="5"/>
        <v>0</v>
      </c>
      <c r="U18" s="436">
        <f t="shared" si="5"/>
        <v>0</v>
      </c>
      <c r="V18" s="436">
        <f t="shared" si="5"/>
        <v>0</v>
      </c>
      <c r="W18" s="436">
        <f>SUM(W15:W17)</f>
        <v>0</v>
      </c>
      <c r="X18" s="436">
        <f t="shared" si="5"/>
        <v>1</v>
      </c>
      <c r="Y18" s="436">
        <f t="shared" si="5"/>
        <v>0</v>
      </c>
      <c r="Z18" s="436">
        <f t="shared" si="5"/>
        <v>0</v>
      </c>
      <c r="AA18" s="436">
        <f t="shared" si="5"/>
        <v>0.4</v>
      </c>
      <c r="AB18" s="435">
        <f t="shared" si="3"/>
        <v>1.4</v>
      </c>
      <c r="AC18" s="447">
        <f t="shared" si="4"/>
        <v>1.4</v>
      </c>
      <c r="AD18" s="449">
        <f t="shared" si="5"/>
        <v>2.3</v>
      </c>
      <c r="AE18" s="447">
        <f t="shared" si="5"/>
        <v>2.1</v>
      </c>
    </row>
    <row r="19" spans="1:31" ht="54" customHeight="1">
      <c r="A19" s="85"/>
      <c r="B19" s="92" t="s">
        <v>207</v>
      </c>
      <c r="C19" s="425"/>
      <c r="D19" s="426"/>
      <c r="E19" s="426">
        <v>1.3</v>
      </c>
      <c r="F19" s="426">
        <v>0.07</v>
      </c>
      <c r="G19" s="426"/>
      <c r="H19" s="426">
        <v>0.18</v>
      </c>
      <c r="I19" s="426"/>
      <c r="J19" s="426">
        <v>0.09</v>
      </c>
      <c r="K19" s="426"/>
      <c r="L19" s="427"/>
      <c r="M19" s="427"/>
      <c r="N19" s="428">
        <f t="shared" si="0"/>
        <v>1.6400000000000001</v>
      </c>
      <c r="O19" s="429"/>
      <c r="P19" s="427">
        <v>0.12</v>
      </c>
      <c r="Q19" s="426"/>
      <c r="R19" s="427"/>
      <c r="S19" s="426"/>
      <c r="T19" s="426"/>
      <c r="U19" s="426"/>
      <c r="V19" s="426"/>
      <c r="W19" s="426"/>
      <c r="X19" s="426"/>
      <c r="Y19" s="426"/>
      <c r="Z19" s="426"/>
      <c r="AA19" s="426"/>
      <c r="AB19" s="428">
        <f t="shared" si="3"/>
        <v>0.12</v>
      </c>
      <c r="AC19" s="430">
        <f t="shared" si="4"/>
        <v>1.7600000000000002</v>
      </c>
      <c r="AD19" s="431">
        <v>20</v>
      </c>
      <c r="AE19" s="432">
        <v>20</v>
      </c>
    </row>
    <row r="20" spans="1:31" ht="54" customHeight="1">
      <c r="A20" s="85"/>
      <c r="B20" s="92" t="s">
        <v>298</v>
      </c>
      <c r="C20" s="425"/>
      <c r="D20" s="426"/>
      <c r="E20" s="426">
        <v>2.62</v>
      </c>
      <c r="F20" s="426">
        <v>0.3</v>
      </c>
      <c r="G20" s="426"/>
      <c r="H20" s="426">
        <v>0.1</v>
      </c>
      <c r="I20" s="426"/>
      <c r="J20" s="426">
        <v>0.73</v>
      </c>
      <c r="K20" s="426"/>
      <c r="L20" s="427"/>
      <c r="M20" s="427"/>
      <c r="N20" s="428">
        <f t="shared" si="0"/>
        <v>3.75</v>
      </c>
      <c r="O20" s="429">
        <v>0.02</v>
      </c>
      <c r="P20" s="427">
        <v>0.11</v>
      </c>
      <c r="Q20" s="426"/>
      <c r="R20" s="427"/>
      <c r="S20" s="426"/>
      <c r="T20" s="426"/>
      <c r="U20" s="426"/>
      <c r="V20" s="426"/>
      <c r="W20" s="426"/>
      <c r="X20" s="426"/>
      <c r="Y20" s="426"/>
      <c r="Z20" s="426"/>
      <c r="AA20" s="426"/>
      <c r="AB20" s="428">
        <f t="shared" si="3"/>
        <v>0.13</v>
      </c>
      <c r="AC20" s="430">
        <f t="shared" si="4"/>
        <v>3.88</v>
      </c>
      <c r="AD20" s="431">
        <v>46</v>
      </c>
      <c r="AE20" s="432">
        <v>46</v>
      </c>
    </row>
    <row r="21" spans="1:31" ht="54" customHeight="1">
      <c r="A21" s="85"/>
      <c r="B21" s="92" t="s">
        <v>296</v>
      </c>
      <c r="C21" s="450">
        <v>0.46</v>
      </c>
      <c r="D21" s="426"/>
      <c r="E21" s="426">
        <v>0.21</v>
      </c>
      <c r="F21" s="426"/>
      <c r="G21" s="426"/>
      <c r="H21" s="426"/>
      <c r="I21" s="426"/>
      <c r="J21" s="426"/>
      <c r="K21" s="426"/>
      <c r="L21" s="427"/>
      <c r="M21" s="427"/>
      <c r="N21" s="428">
        <f t="shared" si="0"/>
        <v>0.67</v>
      </c>
      <c r="O21" s="429"/>
      <c r="P21" s="427">
        <v>0.07</v>
      </c>
      <c r="Q21" s="426"/>
      <c r="R21" s="427"/>
      <c r="S21" s="426"/>
      <c r="T21" s="426"/>
      <c r="U21" s="426"/>
      <c r="V21" s="426"/>
      <c r="W21" s="426"/>
      <c r="X21" s="426"/>
      <c r="Y21" s="426"/>
      <c r="Z21" s="426"/>
      <c r="AA21" s="426"/>
      <c r="AB21" s="428">
        <f t="shared" si="3"/>
        <v>0.07</v>
      </c>
      <c r="AC21" s="430">
        <f t="shared" si="4"/>
        <v>0.74</v>
      </c>
      <c r="AD21" s="431">
        <v>4.9</v>
      </c>
      <c r="AE21" s="432">
        <v>4</v>
      </c>
    </row>
    <row r="22" spans="1:31" ht="54" customHeight="1">
      <c r="A22" s="85"/>
      <c r="B22" s="79" t="s">
        <v>299</v>
      </c>
      <c r="C22" s="417"/>
      <c r="D22" s="418"/>
      <c r="E22" s="418">
        <v>5.28</v>
      </c>
      <c r="F22" s="418">
        <v>0.4</v>
      </c>
      <c r="G22" s="418"/>
      <c r="H22" s="418">
        <v>0.44</v>
      </c>
      <c r="I22" s="418"/>
      <c r="J22" s="418">
        <v>1.09</v>
      </c>
      <c r="K22" s="418"/>
      <c r="L22" s="419"/>
      <c r="M22" s="419"/>
      <c r="N22" s="428">
        <f t="shared" si="0"/>
        <v>7.210000000000001</v>
      </c>
      <c r="O22" s="421">
        <v>0.01</v>
      </c>
      <c r="P22" s="419">
        <v>0.18</v>
      </c>
      <c r="Q22" s="418"/>
      <c r="R22" s="419"/>
      <c r="S22" s="418">
        <v>0.07</v>
      </c>
      <c r="T22" s="418"/>
      <c r="U22" s="418"/>
      <c r="V22" s="418"/>
      <c r="W22" s="418"/>
      <c r="X22" s="418"/>
      <c r="Y22" s="418"/>
      <c r="Z22" s="418"/>
      <c r="AA22" s="418">
        <v>0.48</v>
      </c>
      <c r="AB22" s="420">
        <f t="shared" si="3"/>
        <v>0.74</v>
      </c>
      <c r="AC22" s="422">
        <f t="shared" si="4"/>
        <v>7.950000000000001</v>
      </c>
      <c r="AD22" s="423">
        <v>86</v>
      </c>
      <c r="AE22" s="424">
        <v>86</v>
      </c>
    </row>
    <row r="23" spans="2:31" ht="54" customHeight="1" thickBot="1">
      <c r="B23" s="22" t="s">
        <v>255</v>
      </c>
      <c r="C23" s="437">
        <f>SUM(C19:C22)</f>
        <v>0.46</v>
      </c>
      <c r="D23" s="434">
        <f aca="true" t="shared" si="6" ref="D23:AE23">SUM(D19:D22)</f>
        <v>0</v>
      </c>
      <c r="E23" s="434">
        <f t="shared" si="6"/>
        <v>9.41</v>
      </c>
      <c r="F23" s="434">
        <f t="shared" si="6"/>
        <v>0.77</v>
      </c>
      <c r="G23" s="434">
        <f t="shared" si="6"/>
        <v>0</v>
      </c>
      <c r="H23" s="434">
        <f t="shared" si="6"/>
        <v>0.72</v>
      </c>
      <c r="I23" s="434">
        <f t="shared" si="6"/>
        <v>0</v>
      </c>
      <c r="J23" s="434">
        <f t="shared" si="6"/>
        <v>1.9100000000000001</v>
      </c>
      <c r="K23" s="434">
        <f t="shared" si="6"/>
        <v>0</v>
      </c>
      <c r="L23" s="434">
        <f t="shared" si="6"/>
        <v>0</v>
      </c>
      <c r="M23" s="434">
        <f t="shared" si="6"/>
        <v>0</v>
      </c>
      <c r="N23" s="435">
        <f t="shared" si="0"/>
        <v>13.270000000000001</v>
      </c>
      <c r="O23" s="436">
        <f t="shared" si="6"/>
        <v>0.03</v>
      </c>
      <c r="P23" s="434">
        <f t="shared" si="6"/>
        <v>0.48</v>
      </c>
      <c r="Q23" s="434">
        <f t="shared" si="6"/>
        <v>0</v>
      </c>
      <c r="R23" s="434">
        <f t="shared" si="6"/>
        <v>0</v>
      </c>
      <c r="S23" s="434">
        <f t="shared" si="6"/>
        <v>0.07</v>
      </c>
      <c r="T23" s="434">
        <f t="shared" si="6"/>
        <v>0</v>
      </c>
      <c r="U23" s="434">
        <f t="shared" si="6"/>
        <v>0</v>
      </c>
      <c r="V23" s="434">
        <f t="shared" si="6"/>
        <v>0</v>
      </c>
      <c r="W23" s="434">
        <f>SUM(W19:W22)</f>
        <v>0</v>
      </c>
      <c r="X23" s="434">
        <f t="shared" si="6"/>
        <v>0</v>
      </c>
      <c r="Y23" s="434">
        <f t="shared" si="6"/>
        <v>0</v>
      </c>
      <c r="Z23" s="434">
        <f t="shared" si="6"/>
        <v>0</v>
      </c>
      <c r="AA23" s="434">
        <f t="shared" si="6"/>
        <v>0.48</v>
      </c>
      <c r="AB23" s="435">
        <f t="shared" si="3"/>
        <v>1.06</v>
      </c>
      <c r="AC23" s="447">
        <f t="shared" si="4"/>
        <v>14.330000000000002</v>
      </c>
      <c r="AD23" s="449">
        <f t="shared" si="6"/>
        <v>156.9</v>
      </c>
      <c r="AE23" s="447">
        <f t="shared" si="6"/>
        <v>156</v>
      </c>
    </row>
    <row r="24" spans="2:31" ht="54" customHeight="1">
      <c r="B24" s="72" t="s">
        <v>241</v>
      </c>
      <c r="C24" s="417">
        <v>0.2</v>
      </c>
      <c r="D24" s="418">
        <v>0</v>
      </c>
      <c r="E24" s="418">
        <v>0.5</v>
      </c>
      <c r="F24" s="418">
        <v>0.1</v>
      </c>
      <c r="G24" s="418">
        <v>0.1</v>
      </c>
      <c r="H24" s="418">
        <v>0</v>
      </c>
      <c r="I24" s="418">
        <v>0.2</v>
      </c>
      <c r="J24" s="418">
        <v>0</v>
      </c>
      <c r="K24" s="418">
        <v>0.2</v>
      </c>
      <c r="L24" s="419">
        <v>2</v>
      </c>
      <c r="M24" s="419">
        <v>0.5</v>
      </c>
      <c r="N24" s="420">
        <f t="shared" si="0"/>
        <v>3.8</v>
      </c>
      <c r="O24" s="421">
        <v>0</v>
      </c>
      <c r="P24" s="419">
        <v>3</v>
      </c>
      <c r="Q24" s="418">
        <v>0</v>
      </c>
      <c r="R24" s="419">
        <v>0.2</v>
      </c>
      <c r="S24" s="418">
        <v>0</v>
      </c>
      <c r="T24" s="418">
        <v>0</v>
      </c>
      <c r="U24" s="418">
        <v>0</v>
      </c>
      <c r="V24" s="418">
        <v>0</v>
      </c>
      <c r="W24" s="418">
        <v>2.5</v>
      </c>
      <c r="X24" s="418">
        <v>0</v>
      </c>
      <c r="Y24" s="418">
        <v>0.1</v>
      </c>
      <c r="Z24" s="418">
        <v>0</v>
      </c>
      <c r="AA24" s="418">
        <v>0</v>
      </c>
      <c r="AB24" s="451">
        <f t="shared" si="3"/>
        <v>5.8</v>
      </c>
      <c r="AC24" s="442">
        <f t="shared" si="4"/>
        <v>9.6</v>
      </c>
      <c r="AD24" s="423">
        <v>56</v>
      </c>
      <c r="AE24" s="424">
        <v>33</v>
      </c>
    </row>
    <row r="25" spans="1:31" ht="54" customHeight="1">
      <c r="A25" s="85"/>
      <c r="B25" s="79" t="s">
        <v>240</v>
      </c>
      <c r="C25" s="417"/>
      <c r="D25" s="418"/>
      <c r="E25" s="418"/>
      <c r="F25" s="418"/>
      <c r="G25" s="418"/>
      <c r="H25" s="418"/>
      <c r="I25" s="418"/>
      <c r="J25" s="418"/>
      <c r="K25" s="418"/>
      <c r="L25" s="419"/>
      <c r="M25" s="419"/>
      <c r="N25" s="420">
        <f t="shared" si="0"/>
        <v>0</v>
      </c>
      <c r="O25" s="421"/>
      <c r="P25" s="419">
        <v>0.3</v>
      </c>
      <c r="Q25" s="418"/>
      <c r="R25" s="419">
        <v>0.1</v>
      </c>
      <c r="S25" s="418"/>
      <c r="T25" s="418"/>
      <c r="U25" s="418"/>
      <c r="V25" s="418"/>
      <c r="W25" s="418">
        <v>0.3</v>
      </c>
      <c r="X25" s="418"/>
      <c r="Y25" s="418"/>
      <c r="Z25" s="418"/>
      <c r="AA25" s="418"/>
      <c r="AB25" s="451">
        <f t="shared" si="3"/>
        <v>0.7</v>
      </c>
      <c r="AC25" s="422">
        <f t="shared" si="4"/>
        <v>0.7</v>
      </c>
      <c r="AD25" s="423">
        <v>2.2</v>
      </c>
      <c r="AE25" s="424">
        <v>1.8</v>
      </c>
    </row>
    <row r="26" spans="1:31" ht="54" customHeight="1">
      <c r="A26" s="85"/>
      <c r="B26" s="79" t="s">
        <v>242</v>
      </c>
      <c r="C26" s="417"/>
      <c r="D26" s="418"/>
      <c r="E26" s="418">
        <v>0.1</v>
      </c>
      <c r="F26" s="418"/>
      <c r="G26" s="418"/>
      <c r="H26" s="418"/>
      <c r="I26" s="418"/>
      <c r="J26" s="418"/>
      <c r="K26" s="418"/>
      <c r="L26" s="419"/>
      <c r="M26" s="419"/>
      <c r="N26" s="420">
        <f t="shared" si="0"/>
        <v>0.1</v>
      </c>
      <c r="O26" s="421"/>
      <c r="P26" s="419">
        <v>0.1</v>
      </c>
      <c r="Q26" s="418"/>
      <c r="R26" s="419">
        <v>0.1</v>
      </c>
      <c r="S26" s="418"/>
      <c r="T26" s="418"/>
      <c r="U26" s="418">
        <v>0.1</v>
      </c>
      <c r="V26" s="418">
        <v>0.1</v>
      </c>
      <c r="W26" s="418"/>
      <c r="X26" s="418"/>
      <c r="Y26" s="418"/>
      <c r="Z26" s="418">
        <v>0.1</v>
      </c>
      <c r="AA26" s="418"/>
      <c r="AB26" s="420">
        <f t="shared" si="3"/>
        <v>0.5</v>
      </c>
      <c r="AC26" s="422">
        <f t="shared" si="4"/>
        <v>0.6</v>
      </c>
      <c r="AD26" s="423">
        <v>4</v>
      </c>
      <c r="AE26" s="424">
        <v>3</v>
      </c>
    </row>
    <row r="27" spans="1:32" ht="54" customHeight="1">
      <c r="A27" s="85"/>
      <c r="B27" s="79" t="s">
        <v>239</v>
      </c>
      <c r="C27" s="417"/>
      <c r="D27" s="418"/>
      <c r="E27" s="418"/>
      <c r="F27" s="418"/>
      <c r="G27" s="418"/>
      <c r="H27" s="418"/>
      <c r="I27" s="418"/>
      <c r="J27" s="418"/>
      <c r="K27" s="418"/>
      <c r="L27" s="419">
        <v>0.1</v>
      </c>
      <c r="M27" s="419"/>
      <c r="N27" s="420">
        <f t="shared" si="0"/>
        <v>0.1</v>
      </c>
      <c r="O27" s="421"/>
      <c r="P27" s="419">
        <v>0.1</v>
      </c>
      <c r="Q27" s="418"/>
      <c r="R27" s="419"/>
      <c r="S27" s="418"/>
      <c r="T27" s="418"/>
      <c r="U27" s="418"/>
      <c r="V27" s="418"/>
      <c r="W27" s="418">
        <v>0.1</v>
      </c>
      <c r="X27" s="418"/>
      <c r="Y27" s="418"/>
      <c r="Z27" s="418"/>
      <c r="AA27" s="418"/>
      <c r="AB27" s="420">
        <f t="shared" si="3"/>
        <v>0.2</v>
      </c>
      <c r="AC27" s="422">
        <f t="shared" si="4"/>
        <v>0.30000000000000004</v>
      </c>
      <c r="AD27" s="452">
        <v>4</v>
      </c>
      <c r="AE27" s="747">
        <v>3.5</v>
      </c>
      <c r="AF27" s="749"/>
    </row>
    <row r="28" spans="2:31" ht="54" customHeight="1" thickBot="1">
      <c r="B28" s="22" t="s">
        <v>256</v>
      </c>
      <c r="C28" s="437">
        <f>SUM(C24:C27)</f>
        <v>0.2</v>
      </c>
      <c r="D28" s="434">
        <f aca="true" t="shared" si="7" ref="D28:AE28">SUM(D24:D27)</f>
        <v>0</v>
      </c>
      <c r="E28" s="434">
        <f t="shared" si="7"/>
        <v>0.6</v>
      </c>
      <c r="F28" s="434">
        <f t="shared" si="7"/>
        <v>0.1</v>
      </c>
      <c r="G28" s="434">
        <f t="shared" si="7"/>
        <v>0.1</v>
      </c>
      <c r="H28" s="434">
        <f t="shared" si="7"/>
        <v>0</v>
      </c>
      <c r="I28" s="434">
        <f t="shared" si="7"/>
        <v>0.2</v>
      </c>
      <c r="J28" s="434">
        <f t="shared" si="7"/>
        <v>0</v>
      </c>
      <c r="K28" s="434">
        <f t="shared" si="7"/>
        <v>0.2</v>
      </c>
      <c r="L28" s="434">
        <f t="shared" si="7"/>
        <v>2.1</v>
      </c>
      <c r="M28" s="434">
        <f t="shared" si="7"/>
        <v>0.5</v>
      </c>
      <c r="N28" s="435">
        <f t="shared" si="0"/>
        <v>4</v>
      </c>
      <c r="O28" s="436">
        <f t="shared" si="7"/>
        <v>0</v>
      </c>
      <c r="P28" s="434">
        <f t="shared" si="7"/>
        <v>3.5</v>
      </c>
      <c r="Q28" s="434">
        <f t="shared" si="7"/>
        <v>0</v>
      </c>
      <c r="R28" s="434">
        <f t="shared" si="7"/>
        <v>0.4</v>
      </c>
      <c r="S28" s="434">
        <f t="shared" si="7"/>
        <v>0</v>
      </c>
      <c r="T28" s="434">
        <f t="shared" si="7"/>
        <v>0</v>
      </c>
      <c r="U28" s="434">
        <f t="shared" si="7"/>
        <v>0.1</v>
      </c>
      <c r="V28" s="434">
        <f t="shared" si="7"/>
        <v>0.1</v>
      </c>
      <c r="W28" s="434">
        <f>SUM(W24:W27)</f>
        <v>2.9</v>
      </c>
      <c r="X28" s="434">
        <f t="shared" si="7"/>
        <v>0</v>
      </c>
      <c r="Y28" s="434">
        <f t="shared" si="7"/>
        <v>0.1</v>
      </c>
      <c r="Z28" s="434">
        <f t="shared" si="7"/>
        <v>0.1</v>
      </c>
      <c r="AA28" s="434">
        <f t="shared" si="7"/>
        <v>0</v>
      </c>
      <c r="AB28" s="454">
        <f t="shared" si="3"/>
        <v>7.199999999999999</v>
      </c>
      <c r="AC28" s="447">
        <f t="shared" si="4"/>
        <v>11.2</v>
      </c>
      <c r="AD28" s="449">
        <f t="shared" si="7"/>
        <v>66.2</v>
      </c>
      <c r="AE28" s="447">
        <f t="shared" si="7"/>
        <v>41.3</v>
      </c>
    </row>
    <row r="29" spans="2:31" ht="54" customHeight="1" thickBot="1">
      <c r="B29" s="22" t="s">
        <v>245</v>
      </c>
      <c r="C29" s="456">
        <f aca="true" t="shared" si="8" ref="C29:M29">SUM(C10,C14,C18,C23,C28)</f>
        <v>0.96</v>
      </c>
      <c r="D29" s="456">
        <f t="shared" si="8"/>
        <v>10.2</v>
      </c>
      <c r="E29" s="456">
        <f t="shared" si="8"/>
        <v>13.273333333333333</v>
      </c>
      <c r="F29" s="456">
        <f t="shared" si="8"/>
        <v>0.87</v>
      </c>
      <c r="G29" s="456">
        <f t="shared" si="8"/>
        <v>0.1</v>
      </c>
      <c r="H29" s="456">
        <f t="shared" si="8"/>
        <v>0.88</v>
      </c>
      <c r="I29" s="456">
        <f t="shared" si="8"/>
        <v>0.2</v>
      </c>
      <c r="J29" s="456">
        <f t="shared" si="8"/>
        <v>1.9100000000000001</v>
      </c>
      <c r="K29" s="456">
        <f t="shared" si="8"/>
        <v>5.2</v>
      </c>
      <c r="L29" s="456">
        <f t="shared" si="8"/>
        <v>3.3333333333333335</v>
      </c>
      <c r="M29" s="456">
        <f t="shared" si="8"/>
        <v>0.5</v>
      </c>
      <c r="N29" s="457">
        <f t="shared" si="0"/>
        <v>37.42666666666667</v>
      </c>
      <c r="O29" s="456">
        <f>SUM(O10,O14,O18,O23,O28)</f>
        <v>2.6399999999999997</v>
      </c>
      <c r="P29" s="456">
        <f>SUM(P10,P14,P18,P23,P28)</f>
        <v>4.88</v>
      </c>
      <c r="Q29" s="456">
        <f>SUM(Q10,Q14,Q18,Q23,Q28)</f>
        <v>1.3</v>
      </c>
      <c r="R29" s="456">
        <f>SUM(R10,R14,R18,R23,R28)</f>
        <v>0.4</v>
      </c>
      <c r="S29" s="456">
        <f aca="true" t="shared" si="9" ref="S29:AA29">SUM(S10,S14,S18,S23,S28)</f>
        <v>5.36</v>
      </c>
      <c r="T29" s="456">
        <f t="shared" si="9"/>
        <v>0</v>
      </c>
      <c r="U29" s="456">
        <f t="shared" si="9"/>
        <v>0.1</v>
      </c>
      <c r="V29" s="456">
        <f t="shared" si="9"/>
        <v>0.1</v>
      </c>
      <c r="W29" s="456">
        <f t="shared" si="9"/>
        <v>7.66</v>
      </c>
      <c r="X29" s="456">
        <f t="shared" si="9"/>
        <v>1</v>
      </c>
      <c r="Y29" s="456">
        <f t="shared" si="9"/>
        <v>0.1</v>
      </c>
      <c r="Z29" s="456">
        <f t="shared" si="9"/>
        <v>0.1</v>
      </c>
      <c r="AA29" s="456">
        <f t="shared" si="9"/>
        <v>0.98</v>
      </c>
      <c r="AB29" s="446">
        <f t="shared" si="3"/>
        <v>24.620000000000005</v>
      </c>
      <c r="AC29" s="433">
        <f>SUM(N29,AB29)</f>
        <v>62.046666666666674</v>
      </c>
      <c r="AD29" s="433">
        <f>SUM(AD10,AD14,AD18,AD23,AD28)</f>
        <v>589.6256451612904</v>
      </c>
      <c r="AE29" s="447">
        <f>SUM(AE10,AE14,AE18,AE23,AE28)</f>
        <v>534.0806451612904</v>
      </c>
    </row>
  </sheetData>
  <sheetProtection/>
  <mergeCells count="4">
    <mergeCell ref="AC1:AD1"/>
    <mergeCell ref="C5:N5"/>
    <mergeCell ref="D6:J6"/>
    <mergeCell ref="K6:M6"/>
  </mergeCells>
  <printOptions horizontalCentered="1"/>
  <pageMargins left="0.1968503937007874" right="0.1968503937007874" top="1.5748031496062993" bottom="0.7874015748031497" header="0" footer="0"/>
  <pageSetup horizontalDpi="600" verticalDpi="600" orientation="portrait" paperSize="9" scale="45" r:id="rId1"/>
  <colBreaks count="1" manualBreakCount="1">
    <brk id="14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showOutlineSymbols="0" view="pageBreakPreview" zoomScale="50" zoomScaleNormal="87" zoomScaleSheetLayoutView="50" zoomScalePageLayoutView="0" workbookViewId="0" topLeftCell="A1">
      <selection activeCell="M3" sqref="M3"/>
    </sheetView>
  </sheetViews>
  <sheetFormatPr defaultColWidth="10.75390625" defaultRowHeight="54" customHeight="1"/>
  <cols>
    <col min="1" max="1" width="7.375" style="1" customWidth="1"/>
    <col min="2" max="2" width="20.625" style="1" customWidth="1"/>
    <col min="3" max="16" width="16.625" style="1" customWidth="1"/>
    <col min="17" max="17" width="1.625" style="1" customWidth="1"/>
    <col min="18" max="18" width="8.75390625" style="1" customWidth="1"/>
    <col min="19" max="16384" width="10.75390625" style="1" customWidth="1"/>
  </cols>
  <sheetData>
    <row r="1" spans="15:17" ht="54" customHeight="1">
      <c r="O1" s="823"/>
      <c r="P1" s="823"/>
      <c r="Q1" s="823"/>
    </row>
    <row r="2" spans="2:16" ht="54" customHeight="1">
      <c r="B2" s="2" t="s">
        <v>279</v>
      </c>
      <c r="P2" s="70"/>
    </row>
    <row r="3" ht="54" customHeight="1">
      <c r="B3" s="2"/>
    </row>
    <row r="4" spans="2:14" ht="54" customHeight="1" thickBot="1">
      <c r="B4" s="4" t="s">
        <v>280</v>
      </c>
      <c r="C4" s="4"/>
      <c r="D4" s="4"/>
      <c r="E4" s="3"/>
      <c r="F4" s="4"/>
      <c r="G4" s="39"/>
      <c r="H4" s="3"/>
      <c r="I4" s="3"/>
      <c r="J4" s="3"/>
      <c r="K4" s="3"/>
      <c r="N4" s="6"/>
    </row>
    <row r="5" spans="2:16" ht="54" customHeight="1">
      <c r="B5" s="30"/>
      <c r="C5" s="752" t="s">
        <v>249</v>
      </c>
      <c r="D5" s="753"/>
      <c r="E5" s="753"/>
      <c r="F5" s="824"/>
      <c r="G5" s="769" t="s">
        <v>250</v>
      </c>
      <c r="H5" s="769"/>
      <c r="I5" s="769"/>
      <c r="J5" s="769"/>
      <c r="K5" s="769"/>
      <c r="L5" s="769"/>
      <c r="M5" s="769"/>
      <c r="N5" s="30" t="s">
        <v>118</v>
      </c>
      <c r="O5" s="63" t="s">
        <v>119</v>
      </c>
      <c r="P5" s="75" t="s">
        <v>120</v>
      </c>
    </row>
    <row r="6" spans="2:16" ht="54" customHeight="1">
      <c r="B6" s="9" t="s">
        <v>0</v>
      </c>
      <c r="C6" s="758" t="s">
        <v>27</v>
      </c>
      <c r="D6" s="759"/>
      <c r="E6" s="759"/>
      <c r="F6" s="66"/>
      <c r="G6" s="176" t="s">
        <v>28</v>
      </c>
      <c r="H6" s="755" t="s">
        <v>27</v>
      </c>
      <c r="I6" s="756"/>
      <c r="J6" s="761"/>
      <c r="K6" s="115" t="s">
        <v>29</v>
      </c>
      <c r="L6" s="31" t="s">
        <v>20</v>
      </c>
      <c r="M6" s="160"/>
      <c r="N6" s="9" t="s">
        <v>49</v>
      </c>
      <c r="O6" s="64" t="s">
        <v>49</v>
      </c>
      <c r="P6" s="76" t="s">
        <v>49</v>
      </c>
    </row>
    <row r="7" spans="2:16" ht="54" customHeight="1" thickBot="1">
      <c r="B7" s="32"/>
      <c r="C7" s="153" t="s">
        <v>65</v>
      </c>
      <c r="D7" s="17" t="s">
        <v>175</v>
      </c>
      <c r="E7" s="97" t="s">
        <v>180</v>
      </c>
      <c r="F7" s="98" t="s">
        <v>26</v>
      </c>
      <c r="G7" s="162" t="s">
        <v>176</v>
      </c>
      <c r="H7" s="99" t="s">
        <v>177</v>
      </c>
      <c r="I7" s="99" t="s">
        <v>178</v>
      </c>
      <c r="J7" s="99" t="s">
        <v>17</v>
      </c>
      <c r="K7" s="99" t="s">
        <v>179</v>
      </c>
      <c r="L7" s="163" t="s">
        <v>127</v>
      </c>
      <c r="M7" s="161" t="s">
        <v>26</v>
      </c>
      <c r="N7" s="37" t="s">
        <v>151</v>
      </c>
      <c r="O7" s="65" t="s">
        <v>152</v>
      </c>
      <c r="P7" s="77" t="s">
        <v>152</v>
      </c>
    </row>
    <row r="8" spans="1:16" ht="54" customHeight="1">
      <c r="A8" s="85"/>
      <c r="B8" s="128" t="s">
        <v>214</v>
      </c>
      <c r="C8" s="459"/>
      <c r="D8" s="460"/>
      <c r="E8" s="460"/>
      <c r="F8" s="461">
        <f>SUM(C8:E8)</f>
        <v>0</v>
      </c>
      <c r="G8" s="462">
        <v>0.3</v>
      </c>
      <c r="H8" s="460"/>
      <c r="I8" s="460">
        <v>0.23</v>
      </c>
      <c r="J8" s="460"/>
      <c r="K8" s="460"/>
      <c r="L8" s="460">
        <v>0.23</v>
      </c>
      <c r="M8" s="463">
        <f>SUM(G8:L8)</f>
        <v>0.76</v>
      </c>
      <c r="N8" s="464">
        <f>SUM(F8,M8)</f>
        <v>0.76</v>
      </c>
      <c r="O8" s="465">
        <v>1.34</v>
      </c>
      <c r="P8" s="466">
        <v>1.34</v>
      </c>
    </row>
    <row r="9" spans="1:16" ht="54" customHeight="1">
      <c r="A9" s="85"/>
      <c r="B9" s="92" t="s">
        <v>208</v>
      </c>
      <c r="C9" s="459">
        <v>0.05</v>
      </c>
      <c r="D9" s="460"/>
      <c r="E9" s="460"/>
      <c r="F9" s="461">
        <f aca="true" t="shared" si="0" ref="F9:F27">SUM(C9:E9)</f>
        <v>0.05</v>
      </c>
      <c r="G9" s="462">
        <v>0.1</v>
      </c>
      <c r="H9" s="460"/>
      <c r="I9" s="460">
        <v>0.1</v>
      </c>
      <c r="J9" s="460"/>
      <c r="K9" s="460"/>
      <c r="L9" s="460"/>
      <c r="M9" s="463">
        <f aca="true" t="shared" si="1" ref="M9:M27">SUM(G9:L9)</f>
        <v>0.2</v>
      </c>
      <c r="N9" s="464">
        <f aca="true" t="shared" si="2" ref="N9:N27">SUM(F9,M9)</f>
        <v>0.25</v>
      </c>
      <c r="O9" s="465">
        <v>0.95</v>
      </c>
      <c r="P9" s="466">
        <v>0.95</v>
      </c>
    </row>
    <row r="10" spans="1:16" ht="54" customHeight="1">
      <c r="A10" s="85"/>
      <c r="B10" s="92" t="s">
        <v>212</v>
      </c>
      <c r="C10" s="459"/>
      <c r="D10" s="460"/>
      <c r="E10" s="460"/>
      <c r="F10" s="461">
        <f t="shared" si="0"/>
        <v>0</v>
      </c>
      <c r="G10" s="462">
        <v>1.6</v>
      </c>
      <c r="H10" s="460"/>
      <c r="I10" s="460">
        <v>0.8</v>
      </c>
      <c r="J10" s="460"/>
      <c r="K10" s="460"/>
      <c r="L10" s="460"/>
      <c r="M10" s="463">
        <f t="shared" si="1"/>
        <v>2.4000000000000004</v>
      </c>
      <c r="N10" s="464">
        <f t="shared" si="2"/>
        <v>2.4000000000000004</v>
      </c>
      <c r="O10" s="465">
        <v>5.2</v>
      </c>
      <c r="P10" s="466">
        <v>4.8</v>
      </c>
    </row>
    <row r="11" spans="1:16" ht="54" customHeight="1">
      <c r="A11" s="74"/>
      <c r="B11" s="79" t="s">
        <v>209</v>
      </c>
      <c r="C11" s="467">
        <v>0.01</v>
      </c>
      <c r="D11" s="468">
        <v>0.01</v>
      </c>
      <c r="E11" s="468"/>
      <c r="F11" s="461">
        <f t="shared" si="0"/>
        <v>0.02</v>
      </c>
      <c r="G11" s="469">
        <v>0.5</v>
      </c>
      <c r="H11" s="468"/>
      <c r="I11" s="468">
        <v>0.1</v>
      </c>
      <c r="J11" s="468"/>
      <c r="K11" s="468"/>
      <c r="L11" s="468">
        <v>0.1</v>
      </c>
      <c r="M11" s="463">
        <f t="shared" si="1"/>
        <v>0.7</v>
      </c>
      <c r="N11" s="470">
        <f t="shared" si="2"/>
        <v>0.72</v>
      </c>
      <c r="O11" s="471">
        <v>2.6</v>
      </c>
      <c r="P11" s="472">
        <v>2.6</v>
      </c>
    </row>
    <row r="12" spans="1:16" ht="54" customHeight="1">
      <c r="A12" s="85"/>
      <c r="B12" s="92" t="s">
        <v>211</v>
      </c>
      <c r="C12" s="459"/>
      <c r="D12" s="460"/>
      <c r="E12" s="460"/>
      <c r="F12" s="461">
        <f t="shared" si="0"/>
        <v>0</v>
      </c>
      <c r="G12" s="462"/>
      <c r="H12" s="460"/>
      <c r="I12" s="460"/>
      <c r="J12" s="460"/>
      <c r="K12" s="460"/>
      <c r="L12" s="460">
        <v>0.2</v>
      </c>
      <c r="M12" s="463">
        <f t="shared" si="1"/>
        <v>0.2</v>
      </c>
      <c r="N12" s="464">
        <f t="shared" si="2"/>
        <v>0.2</v>
      </c>
      <c r="O12" s="465">
        <v>1.8</v>
      </c>
      <c r="P12" s="466">
        <v>1.8</v>
      </c>
    </row>
    <row r="13" spans="1:16" ht="54" customHeight="1">
      <c r="A13" s="85"/>
      <c r="B13" s="92" t="s">
        <v>213</v>
      </c>
      <c r="C13" s="459"/>
      <c r="D13" s="460"/>
      <c r="E13" s="460"/>
      <c r="F13" s="461">
        <f t="shared" si="0"/>
        <v>0</v>
      </c>
      <c r="G13" s="462">
        <v>1.1</v>
      </c>
      <c r="H13" s="460"/>
      <c r="I13" s="460">
        <v>0.5</v>
      </c>
      <c r="J13" s="460"/>
      <c r="K13" s="460"/>
      <c r="L13" s="460"/>
      <c r="M13" s="463">
        <f t="shared" si="1"/>
        <v>1.6</v>
      </c>
      <c r="N13" s="464">
        <f t="shared" si="2"/>
        <v>1.6</v>
      </c>
      <c r="O13" s="465">
        <v>0.8</v>
      </c>
      <c r="P13" s="466">
        <v>0.6</v>
      </c>
    </row>
    <row r="14" spans="1:17" ht="54" customHeight="1" thickBot="1">
      <c r="A14" s="85"/>
      <c r="B14" s="22" t="s">
        <v>252</v>
      </c>
      <c r="C14" s="473">
        <f>SUM(C8:C13)</f>
        <v>0.060000000000000005</v>
      </c>
      <c r="D14" s="474">
        <f aca="true" t="shared" si="3" ref="D14:P14">SUM(D8:D13)</f>
        <v>0.01</v>
      </c>
      <c r="E14" s="475">
        <f t="shared" si="3"/>
        <v>0</v>
      </c>
      <c r="F14" s="476">
        <f t="shared" si="0"/>
        <v>0.07</v>
      </c>
      <c r="G14" s="473">
        <f t="shared" si="3"/>
        <v>3.6</v>
      </c>
      <c r="H14" s="474">
        <f t="shared" si="3"/>
        <v>0</v>
      </c>
      <c r="I14" s="474">
        <f t="shared" si="3"/>
        <v>1.7300000000000002</v>
      </c>
      <c r="J14" s="474">
        <f t="shared" si="3"/>
        <v>0</v>
      </c>
      <c r="K14" s="474">
        <f t="shared" si="3"/>
        <v>0</v>
      </c>
      <c r="L14" s="474">
        <f t="shared" si="3"/>
        <v>0.53</v>
      </c>
      <c r="M14" s="477">
        <f t="shared" si="1"/>
        <v>5.86</v>
      </c>
      <c r="N14" s="473">
        <f t="shared" si="2"/>
        <v>5.930000000000001</v>
      </c>
      <c r="O14" s="473">
        <f t="shared" si="3"/>
        <v>12.690000000000001</v>
      </c>
      <c r="P14" s="473">
        <f t="shared" si="3"/>
        <v>12.09</v>
      </c>
      <c r="Q14" s="86"/>
    </row>
    <row r="15" spans="1:16" ht="54" customHeight="1">
      <c r="A15" s="85"/>
      <c r="B15" s="92" t="s">
        <v>304</v>
      </c>
      <c r="C15" s="459"/>
      <c r="D15" s="460"/>
      <c r="E15" s="460"/>
      <c r="F15" s="461">
        <f t="shared" si="0"/>
        <v>0</v>
      </c>
      <c r="G15" s="462">
        <v>0.2</v>
      </c>
      <c r="H15" s="460">
        <v>0.9</v>
      </c>
      <c r="I15" s="460">
        <v>0.8</v>
      </c>
      <c r="J15" s="460"/>
      <c r="K15" s="460"/>
      <c r="L15" s="460"/>
      <c r="M15" s="463">
        <f t="shared" si="1"/>
        <v>1.9000000000000001</v>
      </c>
      <c r="N15" s="464">
        <f t="shared" si="2"/>
        <v>1.9000000000000001</v>
      </c>
      <c r="O15" s="465">
        <v>13.8</v>
      </c>
      <c r="P15" s="466" t="s">
        <v>293</v>
      </c>
    </row>
    <row r="16" spans="1:16" ht="54" customHeight="1">
      <c r="A16" s="85"/>
      <c r="B16" s="92" t="s">
        <v>220</v>
      </c>
      <c r="C16" s="724">
        <f>(0.3-0.4)/3+0.3</f>
        <v>0.26666666666666666</v>
      </c>
      <c r="D16" s="725">
        <v>0.1</v>
      </c>
      <c r="E16" s="726"/>
      <c r="F16" s="727">
        <f>C16+D16</f>
        <v>0.3666666666666667</v>
      </c>
      <c r="G16" s="728">
        <v>1.02</v>
      </c>
      <c r="H16" s="724">
        <v>0.01</v>
      </c>
      <c r="I16" s="729">
        <v>0.485</v>
      </c>
      <c r="J16" s="726"/>
      <c r="K16" s="724">
        <f>(0.1-0.2)/3+0.1</f>
        <v>0.06666666666666668</v>
      </c>
      <c r="L16" s="725">
        <v>0.1</v>
      </c>
      <c r="M16" s="730">
        <f>G16+H16+I16+K16+L16</f>
        <v>1.6816666666666669</v>
      </c>
      <c r="N16" s="731">
        <f>M16+F16</f>
        <v>2.048333333333334</v>
      </c>
      <c r="O16" s="465">
        <v>20.6</v>
      </c>
      <c r="P16" s="466">
        <v>20.6</v>
      </c>
    </row>
    <row r="17" spans="1:17" ht="54" customHeight="1" thickBot="1">
      <c r="A17" s="85"/>
      <c r="B17" s="22" t="s">
        <v>253</v>
      </c>
      <c r="C17" s="473">
        <f>SUM(C15:C16)</f>
        <v>0.26666666666666666</v>
      </c>
      <c r="D17" s="474">
        <f aca="true" t="shared" si="4" ref="D17:P17">SUM(D15:D16)</f>
        <v>0.1</v>
      </c>
      <c r="E17" s="475">
        <f t="shared" si="4"/>
        <v>0</v>
      </c>
      <c r="F17" s="476">
        <f t="shared" si="0"/>
        <v>0.3666666666666667</v>
      </c>
      <c r="G17" s="478">
        <f t="shared" si="4"/>
        <v>1.22</v>
      </c>
      <c r="H17" s="475">
        <f t="shared" si="4"/>
        <v>0.91</v>
      </c>
      <c r="I17" s="475">
        <f t="shared" si="4"/>
        <v>1.2850000000000001</v>
      </c>
      <c r="J17" s="475">
        <f t="shared" si="4"/>
        <v>0</v>
      </c>
      <c r="K17" s="475">
        <f t="shared" si="4"/>
        <v>0.06666666666666668</v>
      </c>
      <c r="L17" s="474">
        <f t="shared" si="4"/>
        <v>0.1</v>
      </c>
      <c r="M17" s="479">
        <f t="shared" si="1"/>
        <v>3.581666666666667</v>
      </c>
      <c r="N17" s="480">
        <f t="shared" si="2"/>
        <v>3.9483333333333337</v>
      </c>
      <c r="O17" s="480">
        <f t="shared" si="4"/>
        <v>34.400000000000006</v>
      </c>
      <c r="P17" s="481">
        <f t="shared" si="4"/>
        <v>20.6</v>
      </c>
      <c r="Q17" s="86"/>
    </row>
    <row r="18" spans="1:16" ht="54" customHeight="1">
      <c r="A18" s="85"/>
      <c r="B18" s="79" t="s">
        <v>225</v>
      </c>
      <c r="C18" s="467"/>
      <c r="D18" s="468"/>
      <c r="E18" s="468"/>
      <c r="F18" s="482">
        <f t="shared" si="0"/>
        <v>0</v>
      </c>
      <c r="G18" s="469">
        <v>0.1</v>
      </c>
      <c r="H18" s="468"/>
      <c r="I18" s="468"/>
      <c r="J18" s="468"/>
      <c r="K18" s="468"/>
      <c r="L18" s="468"/>
      <c r="M18" s="483">
        <f t="shared" si="1"/>
        <v>0.1</v>
      </c>
      <c r="N18" s="470">
        <f t="shared" si="2"/>
        <v>0.1</v>
      </c>
      <c r="O18" s="471">
        <v>0.003</v>
      </c>
      <c r="P18" s="472">
        <v>0.003</v>
      </c>
    </row>
    <row r="19" spans="1:17" ht="54" customHeight="1" thickBot="1">
      <c r="A19" s="85"/>
      <c r="B19" s="22" t="s">
        <v>257</v>
      </c>
      <c r="C19" s="473">
        <f>SUM(C18:C18)</f>
        <v>0</v>
      </c>
      <c r="D19" s="474">
        <f>SUM(D18:D18)</f>
        <v>0</v>
      </c>
      <c r="E19" s="475">
        <f>SUM(E18:E18)</f>
        <v>0</v>
      </c>
      <c r="F19" s="476">
        <f t="shared" si="0"/>
        <v>0</v>
      </c>
      <c r="G19" s="478">
        <f aca="true" t="shared" si="5" ref="G19:L19">SUM(G18:G18)</f>
        <v>0.1</v>
      </c>
      <c r="H19" s="475">
        <f t="shared" si="5"/>
        <v>0</v>
      </c>
      <c r="I19" s="475">
        <f t="shared" si="5"/>
        <v>0</v>
      </c>
      <c r="J19" s="475">
        <f t="shared" si="5"/>
        <v>0</v>
      </c>
      <c r="K19" s="475">
        <f t="shared" si="5"/>
        <v>0</v>
      </c>
      <c r="L19" s="474">
        <f t="shared" si="5"/>
        <v>0</v>
      </c>
      <c r="M19" s="479">
        <f t="shared" si="1"/>
        <v>0.1</v>
      </c>
      <c r="N19" s="480">
        <f t="shared" si="2"/>
        <v>0.1</v>
      </c>
      <c r="O19" s="480">
        <f>SUM(O18:O18)</f>
        <v>0.003</v>
      </c>
      <c r="P19" s="481">
        <f>SUM(P18:P18)</f>
        <v>0.003</v>
      </c>
      <c r="Q19" s="86"/>
    </row>
    <row r="20" spans="1:16" ht="54" customHeight="1">
      <c r="A20" s="85"/>
      <c r="B20" s="128" t="s">
        <v>295</v>
      </c>
      <c r="C20" s="484"/>
      <c r="D20" s="485"/>
      <c r="E20" s="485"/>
      <c r="F20" s="486">
        <f t="shared" si="0"/>
        <v>0</v>
      </c>
      <c r="G20" s="487">
        <v>0.9</v>
      </c>
      <c r="H20" s="485"/>
      <c r="I20" s="485">
        <v>0.3</v>
      </c>
      <c r="J20" s="485"/>
      <c r="K20" s="485"/>
      <c r="L20" s="485"/>
      <c r="M20" s="488">
        <f t="shared" si="1"/>
        <v>1.2</v>
      </c>
      <c r="N20" s="489">
        <f t="shared" si="2"/>
        <v>1.2</v>
      </c>
      <c r="O20" s="490">
        <v>10.3</v>
      </c>
      <c r="P20" s="491">
        <v>10.3</v>
      </c>
    </row>
    <row r="21" spans="1:16" ht="54" customHeight="1">
      <c r="A21" s="85"/>
      <c r="B21" s="92" t="s">
        <v>207</v>
      </c>
      <c r="C21" s="459">
        <v>2.19</v>
      </c>
      <c r="D21" s="460">
        <v>0.3</v>
      </c>
      <c r="E21" s="460">
        <v>0.1</v>
      </c>
      <c r="F21" s="461">
        <f t="shared" si="0"/>
        <v>2.59</v>
      </c>
      <c r="G21" s="462">
        <v>7.39</v>
      </c>
      <c r="H21" s="460">
        <v>0.41</v>
      </c>
      <c r="I21" s="460">
        <v>3.11</v>
      </c>
      <c r="J21" s="460">
        <v>0</v>
      </c>
      <c r="K21" s="460">
        <v>1.32</v>
      </c>
      <c r="L21" s="460"/>
      <c r="M21" s="463">
        <f t="shared" si="1"/>
        <v>12.23</v>
      </c>
      <c r="N21" s="464">
        <f t="shared" si="2"/>
        <v>14.82</v>
      </c>
      <c r="O21" s="465">
        <v>171.349</v>
      </c>
      <c r="P21" s="466">
        <v>171.349</v>
      </c>
    </row>
    <row r="22" spans="1:16" ht="54" customHeight="1">
      <c r="A22" s="85"/>
      <c r="B22" s="79" t="s">
        <v>296</v>
      </c>
      <c r="C22" s="467">
        <v>0.2</v>
      </c>
      <c r="D22" s="468">
        <v>0.2</v>
      </c>
      <c r="E22" s="468"/>
      <c r="F22" s="461">
        <f t="shared" si="0"/>
        <v>0.4</v>
      </c>
      <c r="G22" s="469">
        <v>12.3</v>
      </c>
      <c r="H22" s="468">
        <v>0.4</v>
      </c>
      <c r="I22" s="468">
        <v>4.8</v>
      </c>
      <c r="J22" s="468"/>
      <c r="K22" s="468">
        <v>0.1</v>
      </c>
      <c r="L22" s="468"/>
      <c r="M22" s="463">
        <f t="shared" si="1"/>
        <v>17.6</v>
      </c>
      <c r="N22" s="470">
        <f t="shared" si="2"/>
        <v>18</v>
      </c>
      <c r="O22" s="471">
        <v>166</v>
      </c>
      <c r="P22" s="472">
        <v>166</v>
      </c>
    </row>
    <row r="23" spans="1:16" ht="54" customHeight="1">
      <c r="A23" s="85"/>
      <c r="B23" s="193" t="s">
        <v>299</v>
      </c>
      <c r="C23" s="492"/>
      <c r="D23" s="468">
        <v>0.5</v>
      </c>
      <c r="E23" s="493"/>
      <c r="F23" s="461">
        <f t="shared" si="0"/>
        <v>0.5</v>
      </c>
      <c r="G23" s="494"/>
      <c r="H23" s="493"/>
      <c r="I23" s="493"/>
      <c r="J23" s="493"/>
      <c r="K23" s="493"/>
      <c r="L23" s="495"/>
      <c r="M23" s="463">
        <f t="shared" si="1"/>
        <v>0</v>
      </c>
      <c r="N23" s="470">
        <f t="shared" si="2"/>
        <v>0.5</v>
      </c>
      <c r="O23" s="496">
        <v>0.5</v>
      </c>
      <c r="P23" s="497">
        <v>0.5</v>
      </c>
    </row>
    <row r="24" spans="1:17" ht="54" customHeight="1" thickBot="1">
      <c r="A24" s="85"/>
      <c r="B24" s="22" t="s">
        <v>255</v>
      </c>
      <c r="C24" s="478">
        <f>SUM(C20:C23)</f>
        <v>2.39</v>
      </c>
      <c r="D24" s="474">
        <f aca="true" t="shared" si="6" ref="D24:P24">SUM(D20:D23)</f>
        <v>1</v>
      </c>
      <c r="E24" s="474">
        <f t="shared" si="6"/>
        <v>0.1</v>
      </c>
      <c r="F24" s="476">
        <f t="shared" si="0"/>
        <v>3.49</v>
      </c>
      <c r="G24" s="478">
        <f t="shared" si="6"/>
        <v>20.59</v>
      </c>
      <c r="H24" s="474">
        <f t="shared" si="6"/>
        <v>0.81</v>
      </c>
      <c r="I24" s="474">
        <f t="shared" si="6"/>
        <v>8.209999999999999</v>
      </c>
      <c r="J24" s="474">
        <f t="shared" si="6"/>
        <v>0</v>
      </c>
      <c r="K24" s="474">
        <f t="shared" si="6"/>
        <v>1.4200000000000002</v>
      </c>
      <c r="L24" s="474">
        <f t="shared" si="6"/>
        <v>0</v>
      </c>
      <c r="M24" s="477">
        <f t="shared" si="1"/>
        <v>31.03</v>
      </c>
      <c r="N24" s="498">
        <f t="shared" si="2"/>
        <v>34.52</v>
      </c>
      <c r="O24" s="498">
        <f t="shared" si="6"/>
        <v>348.149</v>
      </c>
      <c r="P24" s="499">
        <f t="shared" si="6"/>
        <v>348.149</v>
      </c>
      <c r="Q24" s="3"/>
    </row>
    <row r="25" spans="1:16" ht="54" customHeight="1">
      <c r="A25" s="85"/>
      <c r="B25" s="128" t="s">
        <v>242</v>
      </c>
      <c r="C25" s="484"/>
      <c r="D25" s="485"/>
      <c r="E25" s="485"/>
      <c r="F25" s="461">
        <f t="shared" si="0"/>
        <v>0</v>
      </c>
      <c r="G25" s="462">
        <v>0.4</v>
      </c>
      <c r="H25" s="460">
        <v>0.1</v>
      </c>
      <c r="I25" s="460">
        <v>0.2</v>
      </c>
      <c r="J25" s="460">
        <v>0.1</v>
      </c>
      <c r="K25" s="460"/>
      <c r="L25" s="460"/>
      <c r="M25" s="463">
        <f t="shared" si="1"/>
        <v>0.7999999999999999</v>
      </c>
      <c r="N25" s="464">
        <f t="shared" si="2"/>
        <v>0.7999999999999999</v>
      </c>
      <c r="O25" s="465">
        <v>0.8</v>
      </c>
      <c r="P25" s="466">
        <v>0.7</v>
      </c>
    </row>
    <row r="26" spans="1:17" ht="54" customHeight="1" thickBot="1">
      <c r="A26" s="85"/>
      <c r="B26" s="22" t="s">
        <v>256</v>
      </c>
      <c r="C26" s="478">
        <f>SUM(C25)</f>
        <v>0</v>
      </c>
      <c r="D26" s="474">
        <f aca="true" t="shared" si="7" ref="D26:P26">SUM(D25)</f>
        <v>0</v>
      </c>
      <c r="E26" s="474">
        <f t="shared" si="7"/>
        <v>0</v>
      </c>
      <c r="F26" s="476">
        <f t="shared" si="0"/>
        <v>0</v>
      </c>
      <c r="G26" s="478">
        <f t="shared" si="7"/>
        <v>0.4</v>
      </c>
      <c r="H26" s="474">
        <f t="shared" si="7"/>
        <v>0.1</v>
      </c>
      <c r="I26" s="474">
        <f t="shared" si="7"/>
        <v>0.2</v>
      </c>
      <c r="J26" s="474">
        <f t="shared" si="7"/>
        <v>0.1</v>
      </c>
      <c r="K26" s="474">
        <f t="shared" si="7"/>
        <v>0</v>
      </c>
      <c r="L26" s="474">
        <f t="shared" si="7"/>
        <v>0</v>
      </c>
      <c r="M26" s="479">
        <f t="shared" si="1"/>
        <v>0.7999999999999999</v>
      </c>
      <c r="N26" s="480">
        <f t="shared" si="2"/>
        <v>0.7999999999999999</v>
      </c>
      <c r="O26" s="480">
        <f t="shared" si="7"/>
        <v>0.8</v>
      </c>
      <c r="P26" s="500">
        <f t="shared" si="7"/>
        <v>0.7</v>
      </c>
      <c r="Q26" s="3"/>
    </row>
    <row r="27" spans="1:17" ht="54" customHeight="1" thickBot="1">
      <c r="A27" s="85"/>
      <c r="B27" s="143" t="s">
        <v>245</v>
      </c>
      <c r="C27" s="501">
        <f>SUM(C14,C17,C19,C24,C26)</f>
        <v>2.716666666666667</v>
      </c>
      <c r="D27" s="502">
        <f>SUM(D14,D17,D19,D24,D26)</f>
        <v>1.11</v>
      </c>
      <c r="E27" s="502">
        <f>SUM(E14,E17,E19,E24,E26)</f>
        <v>0.1</v>
      </c>
      <c r="F27" s="503">
        <f t="shared" si="0"/>
        <v>3.926666666666667</v>
      </c>
      <c r="G27" s="501">
        <f aca="true" t="shared" si="8" ref="G27:L27">SUM(G14,G17,G19,G24,G26)</f>
        <v>25.909999999999997</v>
      </c>
      <c r="H27" s="502">
        <f t="shared" si="8"/>
        <v>1.8200000000000003</v>
      </c>
      <c r="I27" s="502">
        <f t="shared" si="8"/>
        <v>11.424999999999999</v>
      </c>
      <c r="J27" s="502">
        <f t="shared" si="8"/>
        <v>0.1</v>
      </c>
      <c r="K27" s="502">
        <f t="shared" si="8"/>
        <v>1.4866666666666668</v>
      </c>
      <c r="L27" s="502">
        <f t="shared" si="8"/>
        <v>0.63</v>
      </c>
      <c r="M27" s="504">
        <f t="shared" si="1"/>
        <v>41.37166666666666</v>
      </c>
      <c r="N27" s="505">
        <f t="shared" si="2"/>
        <v>45.29833333333333</v>
      </c>
      <c r="O27" s="505">
        <f>SUM(O14,O17,O19,O24,O26)</f>
        <v>396.04200000000003</v>
      </c>
      <c r="P27" s="506">
        <f>SUM(P14,P17,P19,P24,P26)</f>
        <v>381.542</v>
      </c>
      <c r="Q27" s="3"/>
    </row>
    <row r="28" ht="54" customHeight="1">
      <c r="A28" s="85"/>
    </row>
  </sheetData>
  <sheetProtection/>
  <mergeCells count="5">
    <mergeCell ref="C6:E6"/>
    <mergeCell ref="O1:Q1"/>
    <mergeCell ref="C5:F5"/>
    <mergeCell ref="H6:J6"/>
    <mergeCell ref="G5:M5"/>
  </mergeCells>
  <printOptions horizontalCentered="1"/>
  <pageMargins left="0.1968503937007874" right="0.1968503937007874" top="1.5748031496062993" bottom="0.7874015748031497" header="0" footer="0"/>
  <pageSetup horizontalDpi="600" verticalDpi="600" orientation="portrait" paperSize="9" scale="3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1"/>
  <sheetViews>
    <sheetView showOutlineSymbols="0" view="pageBreakPreview" zoomScale="50" zoomScaleNormal="87" zoomScaleSheetLayoutView="50" zoomScalePageLayoutView="0" workbookViewId="0" topLeftCell="A1">
      <selection activeCell="Q6" sqref="Q6"/>
    </sheetView>
  </sheetViews>
  <sheetFormatPr defaultColWidth="10.75390625" defaultRowHeight="54" customHeight="1"/>
  <cols>
    <col min="1" max="1" width="7.625" style="1" customWidth="1"/>
    <col min="2" max="2" width="20.625" style="1" customWidth="1"/>
    <col min="3" max="8" width="15.625" style="1" customWidth="1"/>
    <col min="9" max="11" width="16.625" style="1" customWidth="1"/>
    <col min="12" max="12" width="1.625" style="1" customWidth="1"/>
    <col min="13" max="13" width="8.75390625" style="1" customWidth="1"/>
    <col min="14" max="16384" width="10.75390625" style="1" customWidth="1"/>
  </cols>
  <sheetData>
    <row r="1" spans="10:12" ht="54" customHeight="1">
      <c r="J1" s="823"/>
      <c r="K1" s="823"/>
      <c r="L1" s="23"/>
    </row>
    <row r="2" spans="2:11" ht="54" customHeight="1">
      <c r="B2" s="2" t="s">
        <v>273</v>
      </c>
      <c r="K2" s="70"/>
    </row>
    <row r="3" ht="54" customHeight="1">
      <c r="B3" s="2"/>
    </row>
    <row r="4" spans="2:9" ht="54" customHeight="1" thickBot="1">
      <c r="B4" s="4" t="s">
        <v>267</v>
      </c>
      <c r="C4" s="4" t="s">
        <v>281</v>
      </c>
      <c r="D4" s="4"/>
      <c r="E4" s="4"/>
      <c r="F4" s="4"/>
      <c r="H4" s="5"/>
      <c r="I4" s="6"/>
    </row>
    <row r="5" spans="2:11" ht="54" customHeight="1">
      <c r="B5" s="30"/>
      <c r="C5" s="769" t="s">
        <v>249</v>
      </c>
      <c r="D5" s="769"/>
      <c r="E5" s="769"/>
      <c r="F5" s="770"/>
      <c r="G5" s="825" t="s">
        <v>272</v>
      </c>
      <c r="H5" s="826"/>
      <c r="I5" s="30" t="s">
        <v>118</v>
      </c>
      <c r="J5" s="63" t="s">
        <v>119</v>
      </c>
      <c r="K5" s="63" t="s">
        <v>120</v>
      </c>
    </row>
    <row r="6" spans="2:11" ht="54" customHeight="1">
      <c r="B6" s="9" t="s">
        <v>0</v>
      </c>
      <c r="C6" s="822" t="s">
        <v>28</v>
      </c>
      <c r="D6" s="822"/>
      <c r="E6" s="133" t="s">
        <v>29</v>
      </c>
      <c r="F6" s="62"/>
      <c r="G6" s="132" t="s">
        <v>68</v>
      </c>
      <c r="H6" s="53"/>
      <c r="I6" s="9" t="s">
        <v>49</v>
      </c>
      <c r="J6" s="64" t="s">
        <v>49</v>
      </c>
      <c r="K6" s="64" t="s">
        <v>49</v>
      </c>
    </row>
    <row r="7" spans="2:11" ht="54" customHeight="1" thickBot="1">
      <c r="B7" s="32"/>
      <c r="C7" s="89" t="s">
        <v>268</v>
      </c>
      <c r="D7" s="89" t="s">
        <v>269</v>
      </c>
      <c r="E7" s="89" t="s">
        <v>270</v>
      </c>
      <c r="F7" s="181" t="s">
        <v>26</v>
      </c>
      <c r="G7" s="26" t="s">
        <v>271</v>
      </c>
      <c r="H7" s="182" t="s">
        <v>26</v>
      </c>
      <c r="I7" s="37" t="s">
        <v>300</v>
      </c>
      <c r="J7" s="65" t="s">
        <v>135</v>
      </c>
      <c r="K7" s="65" t="s">
        <v>135</v>
      </c>
    </row>
    <row r="8" spans="1:11" ht="54" customHeight="1">
      <c r="A8" s="85"/>
      <c r="B8" s="184" t="s">
        <v>207</v>
      </c>
      <c r="C8" s="507">
        <v>0.1</v>
      </c>
      <c r="D8" s="507">
        <v>0.1</v>
      </c>
      <c r="E8" s="507">
        <v>0.7</v>
      </c>
      <c r="F8" s="508">
        <f>SUM(C8:E8)</f>
        <v>0.8999999999999999</v>
      </c>
      <c r="G8" s="509">
        <v>0.4</v>
      </c>
      <c r="H8" s="510">
        <f>SUM(G8)</f>
        <v>0.4</v>
      </c>
      <c r="I8" s="511">
        <f>SUM(F8,H8)</f>
        <v>1.2999999999999998</v>
      </c>
      <c r="J8" s="512">
        <v>0.1</v>
      </c>
      <c r="K8" s="512">
        <v>0.1</v>
      </c>
    </row>
    <row r="9" spans="2:11" ht="54" customHeight="1" thickBot="1">
      <c r="B9" s="185" t="s">
        <v>255</v>
      </c>
      <c r="C9" s="513">
        <v>0.1</v>
      </c>
      <c r="D9" s="514">
        <v>0.1</v>
      </c>
      <c r="E9" s="514">
        <v>0.7</v>
      </c>
      <c r="F9" s="515">
        <v>0.9</v>
      </c>
      <c r="G9" s="513">
        <v>0.4</v>
      </c>
      <c r="H9" s="516">
        <f>SUM(G9)</f>
        <v>0.4</v>
      </c>
      <c r="I9" s="513">
        <f>SUM(F9,H9)</f>
        <v>1.3</v>
      </c>
      <c r="J9" s="513">
        <v>0.1</v>
      </c>
      <c r="K9" s="517">
        <v>0.1</v>
      </c>
    </row>
    <row r="10" ht="54" customHeight="1">
      <c r="B10" s="130" t="s">
        <v>266</v>
      </c>
    </row>
    <row r="11" spans="6:11" ht="45" customHeight="1">
      <c r="F11" s="183"/>
      <c r="H11" s="183"/>
      <c r="I11" s="24"/>
      <c r="J11" s="3"/>
      <c r="K11" s="3"/>
    </row>
  </sheetData>
  <sheetProtection/>
  <mergeCells count="4">
    <mergeCell ref="J1:K1"/>
    <mergeCell ref="C5:F5"/>
    <mergeCell ref="G5:H5"/>
    <mergeCell ref="C6:D6"/>
  </mergeCells>
  <printOptions horizontalCentered="1"/>
  <pageMargins left="0.1968503937007874" right="0.1968503937007874" top="1.5748031496062993" bottom="0.7874015748031497" header="0" footer="0"/>
  <pageSetup fitToHeight="1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9"/>
  <sheetViews>
    <sheetView view="pageBreakPreview" zoomScale="50" zoomScaleNormal="55" zoomScaleSheetLayoutView="50" zoomScalePageLayoutView="0" workbookViewId="0" topLeftCell="A1">
      <selection activeCell="X6" sqref="X6"/>
    </sheetView>
  </sheetViews>
  <sheetFormatPr defaultColWidth="12.625" defaultRowHeight="54" customHeight="1"/>
  <cols>
    <col min="1" max="1" width="7.625" style="28" customWidth="1"/>
    <col min="2" max="2" width="20.625" style="28" customWidth="1"/>
    <col min="3" max="17" width="12.625" style="28" customWidth="1"/>
    <col min="18" max="20" width="15.625" style="1" customWidth="1"/>
    <col min="21" max="21" width="3.125" style="28" customWidth="1"/>
    <col min="22" max="16384" width="12.625" style="28" customWidth="1"/>
  </cols>
  <sheetData>
    <row r="1" spans="19:21" ht="54" customHeight="1">
      <c r="S1" s="827"/>
      <c r="T1" s="827"/>
      <c r="U1" s="29"/>
    </row>
    <row r="2" spans="2:20" s="1" customFormat="1" ht="54" customHeight="1">
      <c r="B2" s="2" t="s">
        <v>273</v>
      </c>
      <c r="T2" s="70"/>
    </row>
    <row r="3" s="1" customFormat="1" ht="54" customHeight="1">
      <c r="B3" s="2"/>
    </row>
    <row r="4" spans="2:18" s="1" customFormat="1" ht="54" customHeight="1" thickBot="1">
      <c r="B4" s="4" t="s">
        <v>282</v>
      </c>
      <c r="G4" s="5"/>
      <c r="Q4" s="5"/>
      <c r="R4" s="6"/>
    </row>
    <row r="5" spans="2:20" s="1" customFormat="1" ht="54" customHeight="1">
      <c r="B5" s="52"/>
      <c r="C5" s="828" t="s">
        <v>263</v>
      </c>
      <c r="D5" s="829"/>
      <c r="E5" s="797" t="s">
        <v>250</v>
      </c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Q5" s="769"/>
      <c r="R5" s="30" t="s">
        <v>118</v>
      </c>
      <c r="S5" s="63" t="s">
        <v>119</v>
      </c>
      <c r="T5" s="63" t="s">
        <v>120</v>
      </c>
    </row>
    <row r="6" spans="2:20" s="1" customFormat="1" ht="54" customHeight="1">
      <c r="B6" s="7" t="s">
        <v>0</v>
      </c>
      <c r="C6" s="134" t="s">
        <v>25</v>
      </c>
      <c r="D6" s="53"/>
      <c r="E6" s="756" t="s">
        <v>264</v>
      </c>
      <c r="F6" s="756"/>
      <c r="G6" s="756"/>
      <c r="H6" s="756"/>
      <c r="I6" s="822" t="s">
        <v>21</v>
      </c>
      <c r="J6" s="822"/>
      <c r="K6" s="822"/>
      <c r="L6" s="822"/>
      <c r="M6" s="822"/>
      <c r="N6" s="822"/>
      <c r="O6" s="822"/>
      <c r="P6" s="31" t="s">
        <v>20</v>
      </c>
      <c r="Q6" s="81"/>
      <c r="R6" s="9" t="s">
        <v>49</v>
      </c>
      <c r="S6" s="64" t="s">
        <v>49</v>
      </c>
      <c r="T6" s="64" t="s">
        <v>49</v>
      </c>
    </row>
    <row r="7" spans="2:20" s="1" customFormat="1" ht="54" customHeight="1" thickBot="1">
      <c r="B7" s="153"/>
      <c r="C7" s="164" t="s">
        <v>181</v>
      </c>
      <c r="D7" s="41" t="s">
        <v>26</v>
      </c>
      <c r="E7" s="42" t="s">
        <v>16</v>
      </c>
      <c r="F7" s="54" t="s">
        <v>182</v>
      </c>
      <c r="G7" s="54" t="s">
        <v>183</v>
      </c>
      <c r="H7" s="43" t="s">
        <v>15</v>
      </c>
      <c r="I7" s="100" t="s">
        <v>112</v>
      </c>
      <c r="J7" s="40" t="s">
        <v>184</v>
      </c>
      <c r="K7" s="40" t="s">
        <v>10</v>
      </c>
      <c r="L7" s="33" t="s">
        <v>14</v>
      </c>
      <c r="M7" s="26" t="s">
        <v>11</v>
      </c>
      <c r="N7" s="40" t="s">
        <v>12</v>
      </c>
      <c r="O7" s="26" t="s">
        <v>13</v>
      </c>
      <c r="P7" s="103" t="s">
        <v>127</v>
      </c>
      <c r="Q7" s="101" t="s">
        <v>26</v>
      </c>
      <c r="R7" s="37" t="s">
        <v>185</v>
      </c>
      <c r="S7" s="65" t="s">
        <v>186</v>
      </c>
      <c r="T7" s="65" t="s">
        <v>186</v>
      </c>
    </row>
    <row r="8" spans="1:21" s="1" customFormat="1" ht="54" customHeight="1">
      <c r="A8" s="85"/>
      <c r="B8" s="155" t="s">
        <v>214</v>
      </c>
      <c r="C8" s="318"/>
      <c r="D8" s="321">
        <f>SUM(C8)</f>
        <v>0</v>
      </c>
      <c r="E8" s="518"/>
      <c r="F8" s="319"/>
      <c r="G8" s="319"/>
      <c r="H8" s="319"/>
      <c r="I8" s="319"/>
      <c r="J8" s="319">
        <v>0.2</v>
      </c>
      <c r="K8" s="319"/>
      <c r="L8" s="319"/>
      <c r="M8" s="319">
        <v>0.05</v>
      </c>
      <c r="N8" s="319"/>
      <c r="O8" s="319"/>
      <c r="P8" s="319">
        <v>0.25</v>
      </c>
      <c r="Q8" s="519">
        <f>SUM(E8:P8)</f>
        <v>0.5</v>
      </c>
      <c r="R8" s="520">
        <f>SUM(D8,Q8)</f>
        <v>0.5</v>
      </c>
      <c r="S8" s="322">
        <v>1.2</v>
      </c>
      <c r="T8" s="324">
        <v>1.2</v>
      </c>
      <c r="U8" s="110"/>
    </row>
    <row r="9" spans="1:20" s="1" customFormat="1" ht="54" customHeight="1">
      <c r="A9" s="85"/>
      <c r="B9" s="155" t="s">
        <v>211</v>
      </c>
      <c r="C9" s="318"/>
      <c r="D9" s="321">
        <f aca="true" t="shared" si="0" ref="D9:D28">SUM(C9)</f>
        <v>0</v>
      </c>
      <c r="E9" s="518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20">
        <v>2.5</v>
      </c>
      <c r="Q9" s="519">
        <f aca="true" t="shared" si="1" ref="Q9:Q28">SUM(E9:P9)</f>
        <v>2.5</v>
      </c>
      <c r="R9" s="322">
        <f aca="true" t="shared" si="2" ref="R9:R28">SUM(D9,Q9)</f>
        <v>2.5</v>
      </c>
      <c r="S9" s="324">
        <v>12.3</v>
      </c>
      <c r="T9" s="324">
        <v>12.3</v>
      </c>
    </row>
    <row r="10" spans="2:20" s="1" customFormat="1" ht="54" customHeight="1" thickBot="1">
      <c r="B10" s="80" t="s">
        <v>252</v>
      </c>
      <c r="C10" s="521">
        <f>SUM(C8:C9)</f>
        <v>0</v>
      </c>
      <c r="D10" s="329">
        <f t="shared" si="0"/>
        <v>0</v>
      </c>
      <c r="E10" s="333">
        <f aca="true" t="shared" si="3" ref="E10:T10">SUM(E8:E9)</f>
        <v>0</v>
      </c>
      <c r="F10" s="325">
        <f t="shared" si="3"/>
        <v>0</v>
      </c>
      <c r="G10" s="325">
        <f t="shared" si="3"/>
        <v>0</v>
      </c>
      <c r="H10" s="325">
        <f t="shared" si="3"/>
        <v>0</v>
      </c>
      <c r="I10" s="325">
        <f t="shared" si="3"/>
        <v>0</v>
      </c>
      <c r="J10" s="325">
        <f t="shared" si="3"/>
        <v>0.2</v>
      </c>
      <c r="K10" s="325">
        <f t="shared" si="3"/>
        <v>0</v>
      </c>
      <c r="L10" s="325">
        <f t="shared" si="3"/>
        <v>0</v>
      </c>
      <c r="M10" s="325">
        <f t="shared" si="3"/>
        <v>0.05</v>
      </c>
      <c r="N10" s="325">
        <f t="shared" si="3"/>
        <v>0</v>
      </c>
      <c r="O10" s="325">
        <f t="shared" si="3"/>
        <v>0</v>
      </c>
      <c r="P10" s="325">
        <f t="shared" si="3"/>
        <v>2.75</v>
      </c>
      <c r="Q10" s="522">
        <f t="shared" si="1"/>
        <v>3</v>
      </c>
      <c r="R10" s="327">
        <f t="shared" si="2"/>
        <v>3</v>
      </c>
      <c r="S10" s="327">
        <f t="shared" si="3"/>
        <v>13.5</v>
      </c>
      <c r="T10" s="328">
        <f t="shared" si="3"/>
        <v>13.5</v>
      </c>
    </row>
    <row r="11" spans="1:20" s="1" customFormat="1" ht="54" customHeight="1">
      <c r="A11" s="85"/>
      <c r="B11" s="199" t="s">
        <v>219</v>
      </c>
      <c r="C11" s="318"/>
      <c r="D11" s="321">
        <f t="shared" si="0"/>
        <v>0</v>
      </c>
      <c r="E11" s="518"/>
      <c r="F11" s="319"/>
      <c r="G11" s="319"/>
      <c r="H11" s="319">
        <v>1</v>
      </c>
      <c r="I11" s="319"/>
      <c r="J11" s="319"/>
      <c r="K11" s="319"/>
      <c r="L11" s="319"/>
      <c r="M11" s="319"/>
      <c r="N11" s="319">
        <v>4</v>
      </c>
      <c r="O11" s="319"/>
      <c r="P11" s="319"/>
      <c r="Q11" s="519">
        <f t="shared" si="1"/>
        <v>5</v>
      </c>
      <c r="R11" s="520">
        <v>5</v>
      </c>
      <c r="S11" s="322">
        <v>18.3</v>
      </c>
      <c r="T11" s="324">
        <v>15</v>
      </c>
    </row>
    <row r="12" spans="1:20" s="1" customFormat="1" ht="54" customHeight="1">
      <c r="A12" s="85"/>
      <c r="B12" s="155" t="s">
        <v>220</v>
      </c>
      <c r="C12" s="734">
        <f>(0.8-1.3)/3+0.8</f>
        <v>0.6333333333333334</v>
      </c>
      <c r="D12" s="678">
        <f>SUM(C12)</f>
        <v>0.6333333333333334</v>
      </c>
      <c r="E12" s="732"/>
      <c r="F12" s="665"/>
      <c r="G12" s="665"/>
      <c r="H12" s="665">
        <f>(0.8-1.3)/3+0.8</f>
        <v>0.6333333333333334</v>
      </c>
      <c r="I12" s="665"/>
      <c r="J12" s="665"/>
      <c r="K12" s="665"/>
      <c r="L12" s="665"/>
      <c r="M12" s="665"/>
      <c r="N12" s="665">
        <f>(1.6-2.2)/3+1.6</f>
        <v>1.4000000000000001</v>
      </c>
      <c r="O12" s="665"/>
      <c r="P12" s="677"/>
      <c r="Q12" s="733">
        <f>SUM(E12:P12)</f>
        <v>2.0333333333333337</v>
      </c>
      <c r="R12" s="679">
        <f>D12+Q12</f>
        <v>2.666666666666667</v>
      </c>
      <c r="S12" s="431">
        <f>13.8/3.2*R12</f>
        <v>11.500000000000002</v>
      </c>
      <c r="T12" s="432">
        <f>S12</f>
        <v>11.500000000000002</v>
      </c>
    </row>
    <row r="13" spans="2:20" s="1" customFormat="1" ht="54" customHeight="1" thickBot="1">
      <c r="B13" s="80" t="s">
        <v>253</v>
      </c>
      <c r="C13" s="327">
        <f>SUM(C11:C12)</f>
        <v>0.6333333333333334</v>
      </c>
      <c r="D13" s="326">
        <f aca="true" t="shared" si="4" ref="D13:T13">SUM(D11:D12)</f>
        <v>0.6333333333333334</v>
      </c>
      <c r="E13" s="522">
        <f t="shared" si="4"/>
        <v>0</v>
      </c>
      <c r="F13" s="522">
        <f t="shared" si="4"/>
        <v>0</v>
      </c>
      <c r="G13" s="522">
        <f t="shared" si="4"/>
        <v>0</v>
      </c>
      <c r="H13" s="522">
        <f t="shared" si="4"/>
        <v>1.6333333333333333</v>
      </c>
      <c r="I13" s="522">
        <f t="shared" si="4"/>
        <v>0</v>
      </c>
      <c r="J13" s="522">
        <f t="shared" si="4"/>
        <v>0</v>
      </c>
      <c r="K13" s="522">
        <f t="shared" si="4"/>
        <v>0</v>
      </c>
      <c r="L13" s="522">
        <f t="shared" si="4"/>
        <v>0</v>
      </c>
      <c r="M13" s="522">
        <f t="shared" si="4"/>
        <v>0</v>
      </c>
      <c r="N13" s="522">
        <f t="shared" si="4"/>
        <v>5.4</v>
      </c>
      <c r="O13" s="522">
        <f t="shared" si="4"/>
        <v>0</v>
      </c>
      <c r="P13" s="522">
        <f t="shared" si="4"/>
        <v>0</v>
      </c>
      <c r="Q13" s="523">
        <f t="shared" si="4"/>
        <v>7.033333333333333</v>
      </c>
      <c r="R13" s="524">
        <f t="shared" si="4"/>
        <v>7.666666666666667</v>
      </c>
      <c r="S13" s="524">
        <f t="shared" si="4"/>
        <v>29.800000000000004</v>
      </c>
      <c r="T13" s="524">
        <f t="shared" si="4"/>
        <v>26.5</v>
      </c>
    </row>
    <row r="14" spans="1:20" s="1" customFormat="1" ht="54" customHeight="1">
      <c r="A14" s="85"/>
      <c r="B14" s="155" t="s">
        <v>244</v>
      </c>
      <c r="C14" s="318"/>
      <c r="D14" s="321">
        <f t="shared" si="0"/>
        <v>0</v>
      </c>
      <c r="E14" s="518"/>
      <c r="F14" s="319"/>
      <c r="G14" s="319"/>
      <c r="H14" s="319"/>
      <c r="I14" s="319"/>
      <c r="J14" s="319">
        <v>0.2</v>
      </c>
      <c r="K14" s="319"/>
      <c r="L14" s="319"/>
      <c r="M14" s="319">
        <v>0.5</v>
      </c>
      <c r="N14" s="319">
        <v>0.3</v>
      </c>
      <c r="O14" s="319"/>
      <c r="P14" s="320"/>
      <c r="Q14" s="519">
        <f t="shared" si="1"/>
        <v>1</v>
      </c>
      <c r="R14" s="322">
        <f t="shared" si="2"/>
        <v>1</v>
      </c>
      <c r="S14" s="324">
        <v>3.3</v>
      </c>
      <c r="T14" s="324">
        <v>2.6</v>
      </c>
    </row>
    <row r="15" spans="1:20" s="1" customFormat="1" ht="54" customHeight="1">
      <c r="A15" s="85"/>
      <c r="B15" s="155" t="s">
        <v>289</v>
      </c>
      <c r="C15" s="318"/>
      <c r="D15" s="321">
        <f t="shared" si="0"/>
        <v>0</v>
      </c>
      <c r="E15" s="518"/>
      <c r="F15" s="319"/>
      <c r="G15" s="319"/>
      <c r="H15" s="319"/>
      <c r="I15" s="319"/>
      <c r="J15" s="319">
        <v>0.2</v>
      </c>
      <c r="K15" s="319"/>
      <c r="L15" s="319"/>
      <c r="M15" s="319">
        <v>0.3</v>
      </c>
      <c r="N15" s="319">
        <v>0.5</v>
      </c>
      <c r="O15" s="319"/>
      <c r="P15" s="320">
        <v>0.1</v>
      </c>
      <c r="Q15" s="519">
        <f t="shared" si="1"/>
        <v>1.1</v>
      </c>
      <c r="R15" s="322">
        <f t="shared" si="2"/>
        <v>1.1</v>
      </c>
      <c r="S15" s="324">
        <v>2.7</v>
      </c>
      <c r="T15" s="324">
        <v>1.5</v>
      </c>
    </row>
    <row r="16" spans="2:20" s="1" customFormat="1" ht="54" customHeight="1" thickBot="1">
      <c r="B16" s="80" t="s">
        <v>254</v>
      </c>
      <c r="C16" s="327">
        <f>SUM(C14:C15)</f>
        <v>0</v>
      </c>
      <c r="D16" s="326">
        <f t="shared" si="0"/>
        <v>0</v>
      </c>
      <c r="E16" s="522">
        <f aca="true" t="shared" si="5" ref="E16:T16">SUM(E14:E15)</f>
        <v>0</v>
      </c>
      <c r="F16" s="522">
        <f t="shared" si="5"/>
        <v>0</v>
      </c>
      <c r="G16" s="522">
        <f t="shared" si="5"/>
        <v>0</v>
      </c>
      <c r="H16" s="522">
        <f t="shared" si="5"/>
        <v>0</v>
      </c>
      <c r="I16" s="522">
        <f t="shared" si="5"/>
        <v>0</v>
      </c>
      <c r="J16" s="522">
        <f t="shared" si="5"/>
        <v>0.4</v>
      </c>
      <c r="K16" s="522">
        <f t="shared" si="5"/>
        <v>0</v>
      </c>
      <c r="L16" s="522">
        <f t="shared" si="5"/>
        <v>0</v>
      </c>
      <c r="M16" s="522">
        <f t="shared" si="5"/>
        <v>0.8</v>
      </c>
      <c r="N16" s="522">
        <f t="shared" si="5"/>
        <v>0.8</v>
      </c>
      <c r="O16" s="522">
        <f t="shared" si="5"/>
        <v>0</v>
      </c>
      <c r="P16" s="522">
        <f t="shared" si="5"/>
        <v>0.1</v>
      </c>
      <c r="Q16" s="523">
        <f t="shared" si="1"/>
        <v>2.1</v>
      </c>
      <c r="R16" s="524">
        <f t="shared" si="2"/>
        <v>2.1</v>
      </c>
      <c r="S16" s="524">
        <f t="shared" si="5"/>
        <v>6</v>
      </c>
      <c r="T16" s="524">
        <f t="shared" si="5"/>
        <v>4.1</v>
      </c>
    </row>
    <row r="17" spans="1:20" ht="54" customHeight="1">
      <c r="A17" s="85"/>
      <c r="B17" s="156" t="s">
        <v>229</v>
      </c>
      <c r="C17" s="525"/>
      <c r="D17" s="526">
        <f t="shared" si="0"/>
        <v>0</v>
      </c>
      <c r="E17" s="527"/>
      <c r="F17" s="528"/>
      <c r="G17" s="528"/>
      <c r="H17" s="528"/>
      <c r="I17" s="528"/>
      <c r="J17" s="528">
        <v>0.6000000000000001</v>
      </c>
      <c r="K17" s="528">
        <v>0.2</v>
      </c>
      <c r="L17" s="528"/>
      <c r="M17" s="528">
        <v>0.5</v>
      </c>
      <c r="N17" s="528"/>
      <c r="O17" s="528"/>
      <c r="P17" s="529"/>
      <c r="Q17" s="530">
        <f t="shared" si="1"/>
        <v>1.3</v>
      </c>
      <c r="R17" s="531">
        <f t="shared" si="2"/>
        <v>1.3</v>
      </c>
      <c r="S17" s="532">
        <v>2.5</v>
      </c>
      <c r="T17" s="532">
        <v>2.5</v>
      </c>
    </row>
    <row r="18" spans="1:22" s="1" customFormat="1" ht="54" customHeight="1">
      <c r="A18" s="74"/>
      <c r="B18" s="155" t="s">
        <v>235</v>
      </c>
      <c r="C18" s="318"/>
      <c r="D18" s="321">
        <f t="shared" si="0"/>
        <v>0</v>
      </c>
      <c r="E18" s="518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20">
        <v>0.1</v>
      </c>
      <c r="Q18" s="519">
        <f t="shared" si="1"/>
        <v>0.1</v>
      </c>
      <c r="R18" s="322">
        <f t="shared" si="2"/>
        <v>0.1</v>
      </c>
      <c r="S18" s="324" t="s">
        <v>287</v>
      </c>
      <c r="T18" s="324" t="s">
        <v>287</v>
      </c>
      <c r="V18" s="130"/>
    </row>
    <row r="19" spans="1:20" s="1" customFormat="1" ht="54" customHeight="1">
      <c r="A19" s="74"/>
      <c r="B19" s="155" t="s">
        <v>236</v>
      </c>
      <c r="C19" s="318"/>
      <c r="D19" s="321">
        <f t="shared" si="0"/>
        <v>0</v>
      </c>
      <c r="E19" s="518"/>
      <c r="F19" s="319"/>
      <c r="G19" s="319"/>
      <c r="H19" s="319"/>
      <c r="I19" s="319"/>
      <c r="J19" s="319"/>
      <c r="K19" s="319"/>
      <c r="L19" s="319"/>
      <c r="M19" s="319"/>
      <c r="N19" s="319">
        <v>1</v>
      </c>
      <c r="O19" s="319">
        <v>2</v>
      </c>
      <c r="P19" s="320"/>
      <c r="Q19" s="519">
        <f t="shared" si="1"/>
        <v>3</v>
      </c>
      <c r="R19" s="322">
        <f t="shared" si="2"/>
        <v>3</v>
      </c>
      <c r="S19" s="324">
        <v>6.6</v>
      </c>
      <c r="T19" s="324">
        <v>6.6</v>
      </c>
    </row>
    <row r="20" spans="1:20" s="1" customFormat="1" ht="54" customHeight="1">
      <c r="A20" s="74"/>
      <c r="B20" s="155" t="s">
        <v>227</v>
      </c>
      <c r="C20" s="318"/>
      <c r="D20" s="321">
        <f t="shared" si="0"/>
        <v>0</v>
      </c>
      <c r="E20" s="518"/>
      <c r="F20" s="319"/>
      <c r="G20" s="319"/>
      <c r="H20" s="319"/>
      <c r="I20" s="319"/>
      <c r="J20" s="319">
        <v>2</v>
      </c>
      <c r="K20" s="319"/>
      <c r="L20" s="319"/>
      <c r="M20" s="319">
        <v>1.5</v>
      </c>
      <c r="N20" s="319">
        <v>5</v>
      </c>
      <c r="O20" s="319"/>
      <c r="P20" s="320"/>
      <c r="Q20" s="519">
        <f t="shared" si="1"/>
        <v>8.5</v>
      </c>
      <c r="R20" s="322">
        <f t="shared" si="2"/>
        <v>8.5</v>
      </c>
      <c r="S20" s="324">
        <v>21.3</v>
      </c>
      <c r="T20" s="324">
        <v>17.3</v>
      </c>
    </row>
    <row r="21" spans="1:20" s="1" customFormat="1" ht="54" customHeight="1">
      <c r="A21" s="74"/>
      <c r="B21" s="155" t="s">
        <v>237</v>
      </c>
      <c r="C21" s="318"/>
      <c r="D21" s="321">
        <f t="shared" si="0"/>
        <v>0</v>
      </c>
      <c r="E21" s="518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20">
        <v>1.9</v>
      </c>
      <c r="Q21" s="519">
        <f t="shared" si="1"/>
        <v>1.9</v>
      </c>
      <c r="R21" s="322">
        <f t="shared" si="2"/>
        <v>1.9</v>
      </c>
      <c r="S21" s="324">
        <v>5.1</v>
      </c>
      <c r="T21" s="324">
        <v>5.1</v>
      </c>
    </row>
    <row r="22" spans="1:20" s="1" customFormat="1" ht="54" customHeight="1">
      <c r="A22" s="74"/>
      <c r="B22" s="155" t="s">
        <v>233</v>
      </c>
      <c r="C22" s="318"/>
      <c r="D22" s="321">
        <f t="shared" si="0"/>
        <v>0</v>
      </c>
      <c r="E22" s="518"/>
      <c r="F22" s="319"/>
      <c r="G22" s="319"/>
      <c r="H22" s="319"/>
      <c r="I22" s="319"/>
      <c r="J22" s="319"/>
      <c r="K22" s="319"/>
      <c r="L22" s="319">
        <v>1</v>
      </c>
      <c r="M22" s="319"/>
      <c r="N22" s="319"/>
      <c r="O22" s="319"/>
      <c r="P22" s="320"/>
      <c r="Q22" s="519">
        <f t="shared" si="1"/>
        <v>1</v>
      </c>
      <c r="R22" s="322">
        <f t="shared" si="2"/>
        <v>1</v>
      </c>
      <c r="S22" s="324">
        <v>2</v>
      </c>
      <c r="T22" s="324">
        <v>1.7</v>
      </c>
    </row>
    <row r="23" spans="2:20" s="1" customFormat="1" ht="54" customHeight="1" thickBot="1">
      <c r="B23" s="80" t="s">
        <v>257</v>
      </c>
      <c r="C23" s="327">
        <f>SUM(C17:C22)</f>
        <v>0</v>
      </c>
      <c r="D23" s="533">
        <f t="shared" si="0"/>
        <v>0</v>
      </c>
      <c r="E23" s="522">
        <f aca="true" t="shared" si="6" ref="E23:T23">SUM(E17:E22)</f>
        <v>0</v>
      </c>
      <c r="F23" s="522">
        <f t="shared" si="6"/>
        <v>0</v>
      </c>
      <c r="G23" s="522">
        <f t="shared" si="6"/>
        <v>0</v>
      </c>
      <c r="H23" s="522">
        <f t="shared" si="6"/>
        <v>0</v>
      </c>
      <c r="I23" s="522">
        <f t="shared" si="6"/>
        <v>0</v>
      </c>
      <c r="J23" s="522">
        <f t="shared" si="6"/>
        <v>2.6</v>
      </c>
      <c r="K23" s="522">
        <f t="shared" si="6"/>
        <v>0.2</v>
      </c>
      <c r="L23" s="522">
        <f t="shared" si="6"/>
        <v>1</v>
      </c>
      <c r="M23" s="522">
        <f t="shared" si="6"/>
        <v>2</v>
      </c>
      <c r="N23" s="522">
        <f t="shared" si="6"/>
        <v>6</v>
      </c>
      <c r="O23" s="522">
        <f t="shared" si="6"/>
        <v>2</v>
      </c>
      <c r="P23" s="522">
        <f t="shared" si="6"/>
        <v>2</v>
      </c>
      <c r="Q23" s="534">
        <f t="shared" si="1"/>
        <v>15.8</v>
      </c>
      <c r="R23" s="328">
        <f t="shared" si="2"/>
        <v>15.8</v>
      </c>
      <c r="S23" s="328">
        <f t="shared" si="6"/>
        <v>37.5</v>
      </c>
      <c r="T23" s="328">
        <f t="shared" si="6"/>
        <v>33.2</v>
      </c>
    </row>
    <row r="24" spans="1:20" s="1" customFormat="1" ht="54" customHeight="1">
      <c r="A24" s="85"/>
      <c r="B24" s="155" t="s">
        <v>207</v>
      </c>
      <c r="C24" s="318"/>
      <c r="D24" s="321">
        <f t="shared" si="0"/>
        <v>0</v>
      </c>
      <c r="E24" s="518">
        <v>10.1</v>
      </c>
      <c r="F24" s="319"/>
      <c r="G24" s="319"/>
      <c r="H24" s="319"/>
      <c r="I24" s="319"/>
      <c r="J24" s="319">
        <v>6.2</v>
      </c>
      <c r="K24" s="319">
        <v>8.3</v>
      </c>
      <c r="L24" s="319"/>
      <c r="M24" s="319">
        <v>11.8</v>
      </c>
      <c r="N24" s="319"/>
      <c r="O24" s="319"/>
      <c r="P24" s="320"/>
      <c r="Q24" s="519">
        <f t="shared" si="1"/>
        <v>36.400000000000006</v>
      </c>
      <c r="R24" s="322">
        <f t="shared" si="2"/>
        <v>36.400000000000006</v>
      </c>
      <c r="S24" s="324">
        <v>161.536</v>
      </c>
      <c r="T24" s="324">
        <v>161.536</v>
      </c>
    </row>
    <row r="25" spans="2:20" s="1" customFormat="1" ht="54" customHeight="1" thickBot="1">
      <c r="B25" s="80" t="s">
        <v>255</v>
      </c>
      <c r="C25" s="327">
        <f>SUM(C24)</f>
        <v>0</v>
      </c>
      <c r="D25" s="326">
        <f t="shared" si="0"/>
        <v>0</v>
      </c>
      <c r="E25" s="522">
        <f aca="true" t="shared" si="7" ref="E25:T25">SUM(E24)</f>
        <v>10.1</v>
      </c>
      <c r="F25" s="522">
        <f t="shared" si="7"/>
        <v>0</v>
      </c>
      <c r="G25" s="522">
        <f t="shared" si="7"/>
        <v>0</v>
      </c>
      <c r="H25" s="522">
        <f t="shared" si="7"/>
        <v>0</v>
      </c>
      <c r="I25" s="522">
        <f t="shared" si="7"/>
        <v>0</v>
      </c>
      <c r="J25" s="522">
        <f t="shared" si="7"/>
        <v>6.2</v>
      </c>
      <c r="K25" s="522">
        <f t="shared" si="7"/>
        <v>8.3</v>
      </c>
      <c r="L25" s="522">
        <f t="shared" si="7"/>
        <v>0</v>
      </c>
      <c r="M25" s="522">
        <f t="shared" si="7"/>
        <v>11.8</v>
      </c>
      <c r="N25" s="522">
        <f t="shared" si="7"/>
        <v>0</v>
      </c>
      <c r="O25" s="522">
        <f t="shared" si="7"/>
        <v>0</v>
      </c>
      <c r="P25" s="522">
        <f t="shared" si="7"/>
        <v>0</v>
      </c>
      <c r="Q25" s="523">
        <f t="shared" si="1"/>
        <v>36.400000000000006</v>
      </c>
      <c r="R25" s="524">
        <f t="shared" si="2"/>
        <v>36.400000000000006</v>
      </c>
      <c r="S25" s="524">
        <f t="shared" si="7"/>
        <v>161.536</v>
      </c>
      <c r="T25" s="524">
        <f t="shared" si="7"/>
        <v>161.536</v>
      </c>
    </row>
    <row r="26" spans="1:20" s="1" customFormat="1" ht="54" customHeight="1">
      <c r="A26" s="85"/>
      <c r="B26" s="155" t="s">
        <v>238</v>
      </c>
      <c r="C26" s="318"/>
      <c r="D26" s="321">
        <f t="shared" si="0"/>
        <v>0</v>
      </c>
      <c r="E26" s="518"/>
      <c r="F26" s="319">
        <v>0.5</v>
      </c>
      <c r="G26" s="319"/>
      <c r="H26" s="319"/>
      <c r="I26" s="319"/>
      <c r="J26" s="319">
        <v>0.5</v>
      </c>
      <c r="K26" s="319"/>
      <c r="L26" s="319"/>
      <c r="M26" s="319">
        <v>1</v>
      </c>
      <c r="N26" s="319">
        <v>1</v>
      </c>
      <c r="O26" s="319"/>
      <c r="P26" s="319"/>
      <c r="Q26" s="519">
        <f t="shared" si="1"/>
        <v>3</v>
      </c>
      <c r="R26" s="520">
        <f t="shared" si="2"/>
        <v>3</v>
      </c>
      <c r="S26" s="322">
        <v>8.5</v>
      </c>
      <c r="T26" s="324">
        <v>7.1</v>
      </c>
    </row>
    <row r="27" spans="2:20" s="1" customFormat="1" ht="54" customHeight="1" thickBot="1">
      <c r="B27" s="141" t="s">
        <v>256</v>
      </c>
      <c r="C27" s="535">
        <f>SUM(C26)</f>
        <v>0</v>
      </c>
      <c r="D27" s="536">
        <f t="shared" si="0"/>
        <v>0</v>
      </c>
      <c r="E27" s="537">
        <f aca="true" t="shared" si="8" ref="E27:T27">SUM(E26)</f>
        <v>0</v>
      </c>
      <c r="F27" s="537">
        <f t="shared" si="8"/>
        <v>0.5</v>
      </c>
      <c r="G27" s="537">
        <f t="shared" si="8"/>
        <v>0</v>
      </c>
      <c r="H27" s="537">
        <f t="shared" si="8"/>
        <v>0</v>
      </c>
      <c r="I27" s="537">
        <f t="shared" si="8"/>
        <v>0</v>
      </c>
      <c r="J27" s="537">
        <f t="shared" si="8"/>
        <v>0.5</v>
      </c>
      <c r="K27" s="537">
        <f t="shared" si="8"/>
        <v>0</v>
      </c>
      <c r="L27" s="537">
        <f t="shared" si="8"/>
        <v>0</v>
      </c>
      <c r="M27" s="537">
        <f t="shared" si="8"/>
        <v>1</v>
      </c>
      <c r="N27" s="537">
        <f t="shared" si="8"/>
        <v>1</v>
      </c>
      <c r="O27" s="537">
        <f t="shared" si="8"/>
        <v>0</v>
      </c>
      <c r="P27" s="537">
        <f t="shared" si="8"/>
        <v>0</v>
      </c>
      <c r="Q27" s="538">
        <f t="shared" si="1"/>
        <v>3</v>
      </c>
      <c r="R27" s="539">
        <f t="shared" si="2"/>
        <v>3</v>
      </c>
      <c r="S27" s="539">
        <f t="shared" si="8"/>
        <v>8.5</v>
      </c>
      <c r="T27" s="539">
        <f t="shared" si="8"/>
        <v>7.1</v>
      </c>
    </row>
    <row r="28" spans="2:20" ht="54" customHeight="1" thickBot="1">
      <c r="B28" s="196" t="s">
        <v>245</v>
      </c>
      <c r="C28" s="540">
        <f>SUM(C10,C13,C16,C23,C25,C27)</f>
        <v>0.6333333333333334</v>
      </c>
      <c r="D28" s="541">
        <f t="shared" si="0"/>
        <v>0.6333333333333334</v>
      </c>
      <c r="E28" s="540">
        <f aca="true" t="shared" si="9" ref="E28:P28">SUM(E10,E13,E16,E23,E25,E27)</f>
        <v>10.1</v>
      </c>
      <c r="F28" s="542">
        <f t="shared" si="9"/>
        <v>0.5</v>
      </c>
      <c r="G28" s="542">
        <f t="shared" si="9"/>
        <v>0</v>
      </c>
      <c r="H28" s="542">
        <f t="shared" si="9"/>
        <v>1.6333333333333333</v>
      </c>
      <c r="I28" s="542">
        <f t="shared" si="9"/>
        <v>0</v>
      </c>
      <c r="J28" s="542">
        <f t="shared" si="9"/>
        <v>9.9</v>
      </c>
      <c r="K28" s="542">
        <f t="shared" si="9"/>
        <v>8.5</v>
      </c>
      <c r="L28" s="542">
        <f t="shared" si="9"/>
        <v>1</v>
      </c>
      <c r="M28" s="542">
        <f t="shared" si="9"/>
        <v>15.65</v>
      </c>
      <c r="N28" s="542">
        <f t="shared" si="9"/>
        <v>13.2</v>
      </c>
      <c r="O28" s="542">
        <f t="shared" si="9"/>
        <v>2</v>
      </c>
      <c r="P28" s="542">
        <f t="shared" si="9"/>
        <v>4.85</v>
      </c>
      <c r="Q28" s="541">
        <f t="shared" si="1"/>
        <v>67.33333333333333</v>
      </c>
      <c r="R28" s="543">
        <f t="shared" si="2"/>
        <v>67.96666666666667</v>
      </c>
      <c r="S28" s="543">
        <f>SUM(S10,S13,S16,S23,S25,S27)</f>
        <v>256.836</v>
      </c>
      <c r="T28" s="543">
        <f>SUM(T10,T13,T16,T23,T25,T27)</f>
        <v>245.936</v>
      </c>
    </row>
    <row r="29" spans="3:20" ht="54" customHeight="1"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5"/>
      <c r="S29" s="545"/>
      <c r="T29" s="545"/>
    </row>
  </sheetData>
  <sheetProtection/>
  <mergeCells count="5">
    <mergeCell ref="S1:T1"/>
    <mergeCell ref="C5:D5"/>
    <mergeCell ref="E5:Q5"/>
    <mergeCell ref="E6:H6"/>
    <mergeCell ref="I6:O6"/>
  </mergeCells>
  <printOptions/>
  <pageMargins left="0.25" right="0.25" top="0.75" bottom="0.75" header="0.3" footer="0.3"/>
  <pageSetup fitToHeight="1" fitToWidth="1" horizontalDpi="600" verticalDpi="600" orientation="portrait" paperSize="9" scale="35" r:id="rId2"/>
  <colBreaks count="1" manualBreakCount="1">
    <brk id="11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さる</dc:creator>
  <cp:keywords/>
  <dc:description/>
  <cp:lastModifiedBy>福岡県</cp:lastModifiedBy>
  <cp:lastPrinted>2022-08-24T03:38:50Z</cp:lastPrinted>
  <dcterms:created xsi:type="dcterms:W3CDTF">2000-08-16T04:12:03Z</dcterms:created>
  <dcterms:modified xsi:type="dcterms:W3CDTF">2022-10-13T00:50:50Z</dcterms:modified>
  <cp:category/>
  <cp:version/>
  <cp:contentType/>
  <cp:contentStatus/>
</cp:coreProperties>
</file>